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8585" windowHeight="14460" activeTab="0"/>
  </bookViews>
  <sheets>
    <sheet name="HOOFDDOCUMENT" sheetId="1" r:id="rId1"/>
    <sheet name="WERKBLAD" sheetId="2" r:id="rId2"/>
  </sheets>
  <definedNames>
    <definedName name="_xlnm.Print_Titles" localSheetId="0">'HOOFDDOCUMENT'!$1:$1</definedName>
  </definedNames>
  <calcPr fullCalcOnLoad="1"/>
</workbook>
</file>

<file path=xl/sharedStrings.xml><?xml version="1.0" encoding="utf-8"?>
<sst xmlns="http://schemas.openxmlformats.org/spreadsheetml/2006/main" count="254" uniqueCount="193">
  <si>
    <t>3 jaar</t>
  </si>
  <si>
    <t>EURO</t>
  </si>
  <si>
    <t>1 jaar</t>
  </si>
  <si>
    <t>2 jaar</t>
  </si>
  <si>
    <t>4 jaar</t>
  </si>
  <si>
    <t>5 jaar</t>
  </si>
  <si>
    <t>€</t>
  </si>
  <si>
    <t>watt</t>
  </si>
  <si>
    <t>+/- 2 - 4.000</t>
  </si>
  <si>
    <t>+/- 1.000</t>
  </si>
  <si>
    <t>+/- 8 - 10.000</t>
  </si>
  <si>
    <t>6 jaar</t>
  </si>
  <si>
    <t>7 jaar</t>
  </si>
  <si>
    <t>8 jaar</t>
  </si>
  <si>
    <t>9 jaar</t>
  </si>
  <si>
    <t>10 jaar</t>
  </si>
  <si>
    <t>11 jaar</t>
  </si>
  <si>
    <t>12 jaar</t>
  </si>
  <si>
    <t>13 jaar</t>
  </si>
  <si>
    <t>14 jaar</t>
  </si>
  <si>
    <t>15 jaar</t>
  </si>
  <si>
    <t>Aantal Aankopen Klassiek</t>
  </si>
  <si>
    <t>Aantal Aankopen LED</t>
  </si>
  <si>
    <t>ABS Aantal Aankopen LED</t>
  </si>
  <si>
    <t>ABS Aantal aankopen</t>
  </si>
  <si>
    <t>Aankoop Klassiek Jaar in €</t>
  </si>
  <si>
    <t>Aankoop LED Jaar in €</t>
  </si>
  <si>
    <t>Besparing Verbruik Lamp Kw</t>
  </si>
  <si>
    <t>Besparing Verbruik Lamp €</t>
  </si>
  <si>
    <t>Kost Onderhoud €</t>
  </si>
  <si>
    <t>Besparing Verbruik Airco KW</t>
  </si>
  <si>
    <t>Besparing Airco €</t>
  </si>
  <si>
    <t>TOTAAL BESPARING JAAR €</t>
  </si>
  <si>
    <t>ACCUMULATIE BESPARING €</t>
  </si>
  <si>
    <r>
      <t>CO</t>
    </r>
    <r>
      <rPr>
        <b/>
        <vertAlign val="superscript"/>
        <sz val="10"/>
        <rFont val="Arial"/>
        <family val="2"/>
      </rPr>
      <t>2</t>
    </r>
  </si>
  <si>
    <t>16 jaar</t>
  </si>
  <si>
    <t>17 jaar</t>
  </si>
  <si>
    <t>18 jaar</t>
  </si>
  <si>
    <t>19 jaar</t>
  </si>
  <si>
    <t>20 jaar</t>
  </si>
  <si>
    <t>Additionele onderhouds beurt</t>
  </si>
  <si>
    <t>Jaren</t>
  </si>
  <si>
    <t>ROI BEREKENING IN JAREN</t>
  </si>
  <si>
    <t>ROI BEREKENING IN MAANDEN</t>
  </si>
  <si>
    <t>DATUMBEREKENING</t>
  </si>
  <si>
    <t>maanden</t>
  </si>
  <si>
    <t>ROI</t>
  </si>
  <si>
    <t>%</t>
  </si>
  <si>
    <t>Energieprijs KWH</t>
  </si>
  <si>
    <t>Kost Omschakeling</t>
  </si>
  <si>
    <t>n</t>
  </si>
  <si>
    <t>UTILISATION</t>
  </si>
  <si>
    <t>ACHAT</t>
  </si>
  <si>
    <t>RECONVERSION CLASSIQUE VERS LED</t>
  </si>
  <si>
    <t>MAINTENANCE</t>
  </si>
  <si>
    <t>CONSOMMATION CLIMATISATION</t>
  </si>
  <si>
    <t>1 AN</t>
  </si>
  <si>
    <t>2 ANS</t>
  </si>
  <si>
    <t>3 ANS</t>
  </si>
  <si>
    <t>4 ANS</t>
  </si>
  <si>
    <t>5 ANS</t>
  </si>
  <si>
    <t>6 ANS</t>
  </si>
  <si>
    <t>7 ANS</t>
  </si>
  <si>
    <t>8 ANS</t>
  </si>
  <si>
    <t>9 ANS</t>
  </si>
  <si>
    <t>10 ANS</t>
  </si>
  <si>
    <r>
      <t>1-</t>
    </r>
    <r>
      <rPr>
        <vertAlign val="superscript"/>
        <sz val="10"/>
        <rFont val="Arial"/>
        <family val="2"/>
      </rPr>
      <t xml:space="preserve"> IERE</t>
    </r>
    <r>
      <rPr>
        <sz val="10"/>
        <rFont val="Arial"/>
        <family val="2"/>
      </rPr>
      <t xml:space="preserve"> MOIS</t>
    </r>
  </si>
  <si>
    <r>
      <t>2-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</si>
  <si>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3-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</si>
  <si>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4-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</si>
  <si>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5-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</si>
  <si>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6-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</si>
  <si>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7-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</si>
  <si>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8-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</si>
  <si>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9-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</si>
  <si>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10-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</si>
  <si>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11-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</si>
  <si>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12-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</si>
  <si>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13-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</si>
  <si>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14-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</si>
  <si>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15-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</si>
  <si>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16-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</si>
  <si>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18-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</si>
  <si>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17-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</si>
  <si>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19-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</si>
  <si>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20-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</si>
  <si>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21-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</si>
  <si>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22-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</si>
  <si>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23-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</si>
  <si>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24-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</si>
  <si>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25-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</si>
  <si>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26-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</si>
  <si>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27-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</si>
  <si>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28-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</si>
  <si>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29-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</si>
  <si>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30-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</si>
  <si>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31-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</si>
  <si>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32-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</si>
  <si>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33-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</si>
  <si>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34-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</si>
  <si>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35-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</si>
  <si>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36-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</si>
  <si>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37-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</si>
  <si>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38-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</si>
  <si>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39-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</si>
  <si>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40-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</si>
  <si>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41-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</si>
  <si>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42-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</si>
  <si>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43-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</si>
  <si>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44-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</si>
  <si>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45-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</si>
  <si>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46-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</si>
  <si>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47-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</si>
  <si>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r>
      <t>48-</t>
    </r>
    <r>
      <rPr>
        <vertAlign val="superscript"/>
        <sz val="10"/>
        <rFont val="Arial"/>
        <family val="2"/>
      </rPr>
      <t>IEME</t>
    </r>
    <r>
      <rPr>
        <sz val="10"/>
        <rFont val="Arial"/>
        <family val="2"/>
      </rPr>
      <t xml:space="preserve"> MOIS</t>
    </r>
  </si>
  <si>
    <t>Chaleur / h / lampe</t>
  </si>
  <si>
    <t>ÉPARGNE SUR LA CLIMATISATION APPLIQUABLE ( OUI  / NON )</t>
  </si>
  <si>
    <t>Pièces</t>
  </si>
  <si>
    <t>Heures</t>
  </si>
  <si>
    <t>Jours</t>
  </si>
  <si>
    <t>Semaines</t>
  </si>
  <si>
    <t>Prix d'achat d'une lampe classique (TL) :</t>
  </si>
  <si>
    <t>Prix d'achat d'une lampe LED :</t>
  </si>
  <si>
    <t>Durée de vie d'une lampe halogène :</t>
  </si>
  <si>
    <t>Durée de vie d'une lampe TL :</t>
  </si>
  <si>
    <t>Durée de vie d'une lampe à incandescence :</t>
  </si>
  <si>
    <t>Durée de vie moyenne d'un éclairage classique :</t>
  </si>
  <si>
    <t>Durée de vie moyenne d'un éclairage LED :</t>
  </si>
  <si>
    <t>Durée de vie, en années, d'un éclairage classique :</t>
  </si>
  <si>
    <t>Durée de vie, en années, d'un éclairage LED :</t>
  </si>
  <si>
    <t>Nombre de jours d'utilisation hebdomadaire :</t>
  </si>
  <si>
    <t>Nombre de semaines d'utilisation annuelle :</t>
  </si>
  <si>
    <t>Utilisation annuelle totale / par lampe :</t>
  </si>
  <si>
    <t>DUREE DE VIE DES LAMPES</t>
  </si>
  <si>
    <t>PRIX D'ACHAT</t>
  </si>
  <si>
    <t>CONSOMMATION D'ÉNERGIE DE LA CLIMATISATION</t>
  </si>
  <si>
    <t>RETOUR SUR  L'INVESTISSEMENT DÈS LE</t>
  </si>
  <si>
    <t>ÉPARGNES</t>
  </si>
  <si>
    <t>Avec l'éclairage classique :</t>
  </si>
  <si>
    <t>Avec l'éclairage LED :</t>
  </si>
  <si>
    <t>Consommation totale horaire avec l'éclairage classique :</t>
  </si>
  <si>
    <t>Consommation totale horaire avec l'éclairage LED :</t>
  </si>
  <si>
    <t>Consommation totale annuelle avec l'éclairage classique :</t>
  </si>
  <si>
    <t>Consommation totale annuelle avec l'éclairage LED :</t>
  </si>
  <si>
    <t>1 kW de climatisation consomme effectivement 0,4 kW d'électricité.</t>
  </si>
  <si>
    <t>Avec l'éclairage LED : 20% de la puissance est dissipée en chaleur.</t>
  </si>
  <si>
    <t>Avec l'éclairage classique 80% de la puissance est dissipée en chaleur.</t>
  </si>
  <si>
    <t>ÉLECTRICITÉ</t>
  </si>
  <si>
    <t>Consommation horaire d'une lampe conventionnelle :</t>
  </si>
  <si>
    <t>Consommation horaire d'une lampe  LED :</t>
  </si>
  <si>
    <t>Prix du kW/h :</t>
  </si>
  <si>
    <t>Indexation annuelle du prix de l'électricité :</t>
  </si>
  <si>
    <t>PÉRIODE</t>
  </si>
  <si>
    <t>Coût total annuel du refroidissement, avec l'éclairage LED :</t>
  </si>
  <si>
    <t>Coût total annuel du refroidissement, avec l'éclairage classique :</t>
  </si>
  <si>
    <t>fois</t>
  </si>
  <si>
    <t>CONSOMMATION DES LAMPES</t>
  </si>
  <si>
    <t>kW</t>
  </si>
  <si>
    <t>kW/h</t>
  </si>
  <si>
    <t>kW EL/h</t>
  </si>
  <si>
    <t>kW EL/an</t>
  </si>
  <si>
    <t>Ans</t>
  </si>
  <si>
    <t>minutes</t>
  </si>
  <si>
    <t>21 IÈME MOIS</t>
  </si>
  <si>
    <t>COMPARAISON ÉCONOMIQUE ÉCLAIRAGE CONVENTIONNEL - ÉCLAIRAGE LED</t>
  </si>
  <si>
    <t>Nombre d'heures d'utilisation journalière :</t>
  </si>
  <si>
    <t>Nombre de lampes :</t>
  </si>
  <si>
    <t>Salaire horaire :</t>
  </si>
  <si>
    <t>Temps nécessaire à la reconversion :</t>
  </si>
  <si>
    <t>Temps de remplacement d'une lampe :</t>
  </si>
  <si>
    <t>Coût de remplacement d'une lampe :</t>
  </si>
  <si>
    <t>Coût de la consommation annuelle de l'éclairage classique :</t>
  </si>
  <si>
    <t>Prix d'achat total des lampes classiques :</t>
  </si>
  <si>
    <t>Prix d'achat total des lampes classiques pendant la durée de vie des lampes LED :</t>
  </si>
  <si>
    <t>Prix d'achat total des lampes LED :</t>
  </si>
  <si>
    <t>Coût excédentaire de l'éclairage LED par rapport à l'éclairage classique :</t>
  </si>
  <si>
    <t>ÉPARGNE SUR LA CONSOMMATION PENDANT LA PREMIÈRE ANNÉE :</t>
  </si>
  <si>
    <t>ÉPARGNE SUR LA CONSOMMATION PENDANT LA DEUXIÈME ANNÉE :</t>
  </si>
  <si>
    <t>ÉPARGNE SUR LA CONSOMMATION PENDANT LA TROISIÈME ANNÉE :</t>
  </si>
  <si>
    <t>Coût de la consommation annuelle de l'éclairage LED :</t>
  </si>
  <si>
    <t>COÛT RECONVERSION :</t>
  </si>
  <si>
    <t>Coût de remplacement total de l'éclairage de la société :</t>
  </si>
  <si>
    <t>Rapport du nombre de remplacements entre l'éclairage classique et LED :</t>
  </si>
  <si>
    <t>FRAIS SUPPLÉMENTAIRES POUR REMPLACEMENT :</t>
  </si>
  <si>
    <t>ÉPARGNE SUR LA CONSOMMATION CLIMATISATION PREMIÈRE ANNÉE :</t>
  </si>
  <si>
    <t>ÉPARGNE SUR LA CONSOMMATION CLIMATISATION DEUXIÈME ANNÉE :</t>
  </si>
  <si>
    <t>ÉPARGNE SUR LA CONSOMMATION CLIMATISATION TROISIÈME ANNÉE :</t>
  </si>
  <si>
    <t>Utilisation annuelle totale / pour la société :</t>
  </si>
  <si>
    <t>Consommation horaire avec l'éclairage classique :</t>
  </si>
  <si>
    <t>Consommation horaire avec l'éclairage LED :</t>
  </si>
  <si>
    <t>Énergie hebdomadaire avec l'éclairage classique :</t>
  </si>
  <si>
    <t>Énergie hebdomadaire avec l'éclairage LED :</t>
  </si>
  <si>
    <t>Énergie annuelle avec l'éclairage classique :</t>
  </si>
  <si>
    <t>Énergie annuelle avec l'éclairage LED :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</si>
</sst>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.00"/>
    <numFmt numFmtId="181" formatCode="&quot;€&quot;\ #,##0"/>
    <numFmt numFmtId="182" formatCode="&quot;€&quot;\ #,##0.0"/>
    <numFmt numFmtId="183" formatCode="0.0"/>
    <numFmt numFmtId="184" formatCode="#,##0\ [$€-1];[Red]\-#,##0\ [$€-1]"/>
    <numFmt numFmtId="185" formatCode="#,##0.00\ &quot;€&quot;"/>
    <numFmt numFmtId="186" formatCode="#,##0.0"/>
    <numFmt numFmtId="187" formatCode="#,##0.000"/>
    <numFmt numFmtId="188" formatCode="#,##0.0000"/>
    <numFmt numFmtId="189" formatCode="#,##0.0\ &quot;€&quot;"/>
    <numFmt numFmtId="190" formatCode="#,##0\ &quot;€&quot;"/>
    <numFmt numFmtId="191" formatCode="#,##0\ _€"/>
    <numFmt numFmtId="192" formatCode="0.000"/>
    <numFmt numFmtId="193" formatCode="#,##0.000\ &quot;€&quot;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28"/>
      <name val="Arial"/>
      <family val="2"/>
    </font>
    <font>
      <sz val="8"/>
      <color indexed="8"/>
      <name val="Arial"/>
      <family val="0"/>
    </font>
    <font>
      <sz val="9.25"/>
      <color indexed="8"/>
      <name val="Arial"/>
      <family val="0"/>
    </font>
    <font>
      <sz val="9.5"/>
      <color indexed="8"/>
      <name val="Arial"/>
      <family val="0"/>
    </font>
    <font>
      <sz val="8.5"/>
      <color indexed="8"/>
      <name val="Arial"/>
      <family val="0"/>
    </font>
    <font>
      <sz val="8.7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4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4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b/>
      <sz val="9.25"/>
      <color indexed="8"/>
      <name val="Arial"/>
      <family val="0"/>
    </font>
    <font>
      <b/>
      <sz val="11.75"/>
      <color indexed="8"/>
      <name val="Arial"/>
      <family val="0"/>
    </font>
    <font>
      <b/>
      <sz val="11.5"/>
      <color indexed="8"/>
      <name val="Arial"/>
      <family val="0"/>
    </font>
    <font>
      <b/>
      <vertAlign val="superscript"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4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4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3" fontId="0" fillId="33" borderId="17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2" xfId="0" applyNumberFormat="1" applyBorder="1" applyAlignment="1">
      <alignment/>
    </xf>
    <xf numFmtId="4" fontId="0" fillId="33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12" xfId="0" applyNumberFormat="1" applyBorder="1" applyAlignment="1">
      <alignment/>
    </xf>
    <xf numFmtId="3" fontId="0" fillId="33" borderId="20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187" fontId="0" fillId="0" borderId="0" xfId="0" applyNumberFormat="1" applyBorder="1" applyAlignment="1">
      <alignment/>
    </xf>
    <xf numFmtId="0" fontId="0" fillId="33" borderId="14" xfId="0" applyFill="1" applyBorder="1" applyAlignment="1">
      <alignment/>
    </xf>
    <xf numFmtId="0" fontId="4" fillId="0" borderId="22" xfId="0" applyFont="1" applyBorder="1" applyAlignment="1">
      <alignment/>
    </xf>
    <xf numFmtId="0" fontId="4" fillId="0" borderId="18" xfId="0" applyFont="1" applyBorder="1" applyAlignment="1">
      <alignment/>
    </xf>
    <xf numFmtId="3" fontId="0" fillId="0" borderId="0" xfId="0" applyNumberFormat="1" applyBorder="1" applyAlignment="1" quotePrefix="1">
      <alignment horizontal="right"/>
    </xf>
    <xf numFmtId="0" fontId="0" fillId="0" borderId="0" xfId="0" applyAlignment="1">
      <alignment wrapText="1"/>
    </xf>
    <xf numFmtId="190" fontId="0" fillId="0" borderId="0" xfId="0" applyNumberFormat="1" applyAlignment="1">
      <alignment/>
    </xf>
    <xf numFmtId="0" fontId="3" fillId="0" borderId="22" xfId="0" applyFont="1" applyBorder="1" applyAlignment="1">
      <alignment/>
    </xf>
    <xf numFmtId="2" fontId="3" fillId="0" borderId="22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3" fontId="0" fillId="0" borderId="22" xfId="0" applyNumberFormat="1" applyBorder="1" applyAlignment="1">
      <alignment/>
    </xf>
    <xf numFmtId="4" fontId="0" fillId="0" borderId="22" xfId="0" applyNumberFormat="1" applyBorder="1" applyAlignment="1">
      <alignment/>
    </xf>
    <xf numFmtId="190" fontId="0" fillId="0" borderId="22" xfId="0" applyNumberFormat="1" applyBorder="1" applyAlignment="1">
      <alignment/>
    </xf>
    <xf numFmtId="0" fontId="5" fillId="0" borderId="22" xfId="0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0" fontId="7" fillId="34" borderId="22" xfId="0" applyFont="1" applyFill="1" applyBorder="1" applyAlignment="1">
      <alignment wrapText="1"/>
    </xf>
    <xf numFmtId="0" fontId="5" fillId="34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0" fontId="5" fillId="34" borderId="22" xfId="0" applyFont="1" applyFill="1" applyBorder="1" applyAlignment="1">
      <alignment wrapText="1"/>
    </xf>
    <xf numFmtId="190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190" fontId="5" fillId="34" borderId="22" xfId="0" applyNumberFormat="1" applyFont="1" applyFill="1" applyBorder="1" applyAlignment="1">
      <alignment/>
    </xf>
    <xf numFmtId="0" fontId="0" fillId="33" borderId="17" xfId="0" applyFill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92" fontId="0" fillId="0" borderId="0" xfId="0" applyNumberFormat="1" applyAlignment="1">
      <alignment/>
    </xf>
    <xf numFmtId="192" fontId="3" fillId="0" borderId="22" xfId="0" applyNumberFormat="1" applyFont="1" applyBorder="1" applyAlignment="1">
      <alignment/>
    </xf>
    <xf numFmtId="0" fontId="9" fillId="35" borderId="16" xfId="0" applyFont="1" applyFill="1" applyBorder="1" applyAlignment="1">
      <alignment horizontal="right"/>
    </xf>
    <xf numFmtId="0" fontId="9" fillId="35" borderId="17" xfId="0" applyFont="1" applyFill="1" applyBorder="1" applyAlignment="1">
      <alignment/>
    </xf>
    <xf numFmtId="0" fontId="5" fillId="0" borderId="0" xfId="0" applyFont="1" applyAlignment="1">
      <alignment/>
    </xf>
    <xf numFmtId="0" fontId="0" fillId="33" borderId="23" xfId="0" applyFill="1" applyBorder="1" applyAlignment="1">
      <alignment/>
    </xf>
    <xf numFmtId="193" fontId="0" fillId="0" borderId="22" xfId="0" applyNumberFormat="1" applyFont="1" applyBorder="1" applyAlignment="1">
      <alignment/>
    </xf>
    <xf numFmtId="192" fontId="0" fillId="0" borderId="22" xfId="0" applyNumberFormat="1" applyFont="1" applyBorder="1" applyAlignment="1">
      <alignment/>
    </xf>
    <xf numFmtId="4" fontId="4" fillId="0" borderId="16" xfId="0" applyNumberFormat="1" applyFont="1" applyFill="1" applyBorder="1" applyAlignment="1">
      <alignment/>
    </xf>
    <xf numFmtId="9" fontId="10" fillId="0" borderId="0" xfId="0" applyNumberFormat="1" applyFont="1" applyAlignment="1">
      <alignment/>
    </xf>
    <xf numFmtId="0" fontId="0" fillId="33" borderId="18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CONSOMMATION ENERGIE</a:t>
            </a:r>
          </a:p>
        </c:rich>
      </c:tx>
      <c:layout>
        <c:manualLayout>
          <c:xMode val="factor"/>
          <c:yMode val="factor"/>
          <c:x val="0.03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47"/>
          <c:w val="0.92525"/>
          <c:h val="0.81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HOOFDDOCUMENT!$A$21:$A$22</c:f>
              <c:strCache/>
            </c:strRef>
          </c:cat>
          <c:val>
            <c:numRef>
              <c:f>HOOFDDOCUMENT!$B$21:$B$22</c:f>
              <c:numCache/>
            </c:numRef>
          </c:val>
        </c:ser>
        <c:axId val="30283451"/>
        <c:axId val="4115604"/>
      </c:barChart>
      <c:catAx>
        <c:axId val="30283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5604"/>
        <c:crosses val="autoZero"/>
        <c:auto val="1"/>
        <c:lblOffset val="100"/>
        <c:tickLblSkip val="1"/>
        <c:noMultiLvlLbl val="0"/>
      </c:catAx>
      <c:valAx>
        <c:axId val="4115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834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ÉPARGNE CUMULÉE EN EUROS</a:t>
            </a:r>
          </a:p>
        </c:rich>
      </c:tx>
      <c:layout>
        <c:manualLayout>
          <c:xMode val="factor"/>
          <c:yMode val="factor"/>
          <c:x val="-0.07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"/>
          <c:w val="0.96125"/>
          <c:h val="0.82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HOOFDDOCUMENT!$H$37</c:f>
              <c:strCache>
                <c:ptCount val="1"/>
                <c:pt idx="0">
                  <c:v>EURO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HOOFDDOCUMENT!$E$38:$E$47</c:f>
              <c:strCache/>
            </c:strRef>
          </c:cat>
          <c:val>
            <c:numRef>
              <c:f>HOOFDDOCUMENT!$H$38:$H$47</c:f>
              <c:numCache/>
            </c:numRef>
          </c:val>
        </c:ser>
        <c:axId val="37040437"/>
        <c:axId val="64928478"/>
      </c:barChart>
      <c:catAx>
        <c:axId val="3704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28478"/>
        <c:crosses val="autoZero"/>
        <c:auto val="1"/>
        <c:lblOffset val="1000"/>
        <c:tickLblSkip val="1"/>
        <c:noMultiLvlLbl val="0"/>
      </c:catAx>
      <c:valAx>
        <c:axId val="64928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4043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RÉDUCTION DE L'ÉMISSION DE CO</a:t>
            </a:r>
            <a:r>
              <a:rPr lang="en-US" cap="none" sz="11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</a:p>
        </c:rich>
      </c:tx>
      <c:layout>
        <c:manualLayout>
          <c:xMode val="factor"/>
          <c:yMode val="factor"/>
          <c:x val="-0.0042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3425"/>
          <c:w val="0.87775"/>
          <c:h val="0.84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HOOFDDOCUMENT!$G$37</c:f>
              <c:strCache>
                <c:ptCount val="1"/>
                <c:pt idx="0">
                  <c:v>CO2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HOOFDDOCUMENT!$E$38:$E$47</c:f>
              <c:strCache/>
            </c:strRef>
          </c:cat>
          <c:val>
            <c:numRef>
              <c:f>HOOFDDOCUMENT!$G$38:$G$47</c:f>
              <c:numCache/>
            </c:numRef>
          </c:val>
        </c:ser>
        <c:axId val="47485391"/>
        <c:axId val="24715336"/>
      </c:barChart>
      <c:catAx>
        <c:axId val="47485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15336"/>
        <c:crosses val="autoZero"/>
        <c:auto val="1"/>
        <c:lblOffset val="100"/>
        <c:tickLblSkip val="1"/>
        <c:noMultiLvlLbl val="0"/>
      </c:catAx>
      <c:valAx>
        <c:axId val="24715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853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175"/>
          <c:y val="0.49"/>
          <c:w val="0.079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77</xdr:row>
      <xdr:rowOff>76200</xdr:rowOff>
    </xdr:from>
    <xdr:to>
      <xdr:col>4</xdr:col>
      <xdr:colOff>9525</xdr:colOff>
      <xdr:row>93</xdr:row>
      <xdr:rowOff>142875</xdr:rowOff>
    </xdr:to>
    <xdr:graphicFrame>
      <xdr:nvGraphicFramePr>
        <xdr:cNvPr id="1" name="Chart 3"/>
        <xdr:cNvGraphicFramePr/>
      </xdr:nvGraphicFramePr>
      <xdr:xfrm>
        <a:off x="47625" y="12668250"/>
        <a:ext cx="62960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52</xdr:row>
      <xdr:rowOff>76200</xdr:rowOff>
    </xdr:from>
    <xdr:to>
      <xdr:col>4</xdr:col>
      <xdr:colOff>0</xdr:colOff>
      <xdr:row>76</xdr:row>
      <xdr:rowOff>57150</xdr:rowOff>
    </xdr:to>
    <xdr:graphicFrame>
      <xdr:nvGraphicFramePr>
        <xdr:cNvPr id="2" name="Chart 1"/>
        <xdr:cNvGraphicFramePr/>
      </xdr:nvGraphicFramePr>
      <xdr:xfrm>
        <a:off x="47625" y="8620125"/>
        <a:ext cx="628650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161925</xdr:colOff>
      <xdr:row>52</xdr:row>
      <xdr:rowOff>66675</xdr:rowOff>
    </xdr:from>
    <xdr:to>
      <xdr:col>7</xdr:col>
      <xdr:colOff>752475</xdr:colOff>
      <xdr:row>76</xdr:row>
      <xdr:rowOff>57150</xdr:rowOff>
    </xdr:to>
    <xdr:graphicFrame>
      <xdr:nvGraphicFramePr>
        <xdr:cNvPr id="3" name="Chart 2"/>
        <xdr:cNvGraphicFramePr/>
      </xdr:nvGraphicFramePr>
      <xdr:xfrm>
        <a:off x="6496050" y="8610600"/>
        <a:ext cx="6667500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tabSelected="1" zoomScalePageLayoutView="0" workbookViewId="0" topLeftCell="A1">
      <selection activeCell="E34" sqref="E34"/>
    </sheetView>
  </sheetViews>
  <sheetFormatPr defaultColWidth="9.140625" defaultRowHeight="12.75"/>
  <cols>
    <col min="1" max="1" width="61.421875" style="0" bestFit="1" customWidth="1"/>
    <col min="2" max="2" width="14.8515625" style="0" customWidth="1"/>
    <col min="3" max="3" width="16.7109375" style="0" customWidth="1"/>
    <col min="4" max="4" width="2.00390625" style="0" customWidth="1"/>
    <col min="5" max="5" width="70.28125" style="0" bestFit="1" customWidth="1"/>
    <col min="6" max="6" width="10.8515625" style="0" customWidth="1"/>
    <col min="7" max="7" width="10.00390625" style="0" customWidth="1"/>
    <col min="8" max="8" width="11.421875" style="0" customWidth="1"/>
  </cols>
  <sheetData>
    <row r="1" spans="1:8" ht="18">
      <c r="A1" s="81" t="s">
        <v>163</v>
      </c>
      <c r="B1" s="82"/>
      <c r="C1" s="82"/>
      <c r="D1" s="82"/>
      <c r="E1" s="82"/>
      <c r="F1" s="82"/>
      <c r="G1" s="82"/>
      <c r="H1" s="83"/>
    </row>
    <row r="3" spans="1:7" ht="12.75">
      <c r="A3" s="11" t="s">
        <v>165</v>
      </c>
      <c r="B3" s="12">
        <v>100</v>
      </c>
      <c r="C3" s="68" t="s">
        <v>116</v>
      </c>
      <c r="D3" s="3"/>
      <c r="E3" s="78" t="s">
        <v>52</v>
      </c>
      <c r="F3" s="79"/>
      <c r="G3" s="80"/>
    </row>
    <row r="4" spans="4:7" ht="12.75">
      <c r="D4" s="3"/>
      <c r="E4" s="9" t="s">
        <v>171</v>
      </c>
      <c r="F4" s="25">
        <f>+$B$3*$B$25</f>
        <v>400</v>
      </c>
      <c r="G4" s="6" t="s">
        <v>6</v>
      </c>
    </row>
    <row r="5" spans="1:7" ht="12.75">
      <c r="A5" s="78" t="s">
        <v>51</v>
      </c>
      <c r="B5" s="79"/>
      <c r="C5" s="80"/>
      <c r="D5" s="3"/>
      <c r="E5" s="10" t="s">
        <v>172</v>
      </c>
      <c r="F5" s="25">
        <f>(+$B$35/$B$34)*$F$4</f>
        <v>2000.0000000000005</v>
      </c>
      <c r="G5" s="6" t="s">
        <v>6</v>
      </c>
    </row>
    <row r="6" spans="1:7" ht="12.75">
      <c r="A6" s="14" t="s">
        <v>164</v>
      </c>
      <c r="B6" s="15">
        <v>16</v>
      </c>
      <c r="C6" s="69" t="s">
        <v>117</v>
      </c>
      <c r="D6" s="3"/>
      <c r="E6" s="10" t="s">
        <v>173</v>
      </c>
      <c r="F6" s="25">
        <f>+B3*B26</f>
        <v>5000</v>
      </c>
      <c r="G6" s="6" t="s">
        <v>6</v>
      </c>
    </row>
    <row r="7" spans="1:7" ht="12.75">
      <c r="A7" s="16" t="s">
        <v>129</v>
      </c>
      <c r="B7" s="17">
        <v>5</v>
      </c>
      <c r="C7" s="70" t="s">
        <v>118</v>
      </c>
      <c r="D7" s="3"/>
      <c r="E7" s="32" t="s">
        <v>174</v>
      </c>
      <c r="F7" s="46">
        <f>+F6-F5</f>
        <v>2999.9999999999995</v>
      </c>
      <c r="G7" s="33" t="s">
        <v>6</v>
      </c>
    </row>
    <row r="8" spans="1:4" ht="12.75">
      <c r="A8" s="19" t="s">
        <v>130</v>
      </c>
      <c r="B8" s="20">
        <v>52</v>
      </c>
      <c r="C8" s="71" t="s">
        <v>119</v>
      </c>
      <c r="D8" s="3"/>
    </row>
    <row r="9" spans="1:7" ht="12.75">
      <c r="A9" s="77" t="s">
        <v>131</v>
      </c>
      <c r="B9" s="22">
        <f>$B$6*$B$7*$B$8</f>
        <v>4160</v>
      </c>
      <c r="C9" s="72" t="s">
        <v>117</v>
      </c>
      <c r="D9" s="3"/>
      <c r="E9" s="78" t="s">
        <v>155</v>
      </c>
      <c r="F9" s="79"/>
      <c r="G9" s="80"/>
    </row>
    <row r="10" spans="1:7" ht="12.75">
      <c r="A10" s="75" t="s">
        <v>186</v>
      </c>
      <c r="B10" s="23">
        <f>$B$3*$B$6*$B$7*$B$8</f>
        <v>416000</v>
      </c>
      <c r="C10" s="73" t="s">
        <v>117</v>
      </c>
      <c r="D10" s="3"/>
      <c r="E10" s="9" t="s">
        <v>170</v>
      </c>
      <c r="F10" s="25">
        <f>+$B$21*$B$15</f>
        <v>3893.7599999999998</v>
      </c>
      <c r="G10" s="6" t="s">
        <v>6</v>
      </c>
    </row>
    <row r="11" spans="4:7" ht="12.75">
      <c r="D11" s="3"/>
      <c r="E11" s="10" t="s">
        <v>178</v>
      </c>
      <c r="F11" s="25">
        <f>+$B$22*$B$15</f>
        <v>1098.24</v>
      </c>
      <c r="G11" s="6" t="s">
        <v>6</v>
      </c>
    </row>
    <row r="12" spans="1:7" ht="12.75">
      <c r="A12" s="78" t="s">
        <v>146</v>
      </c>
      <c r="B12" s="79"/>
      <c r="C12" s="80"/>
      <c r="D12" s="3"/>
      <c r="E12" s="32" t="s">
        <v>175</v>
      </c>
      <c r="F12" s="46">
        <f>+$F$10-$F$11</f>
        <v>2795.5199999999995</v>
      </c>
      <c r="G12" s="33" t="s">
        <v>6</v>
      </c>
    </row>
    <row r="13" spans="1:7" ht="12.75">
      <c r="A13" s="16" t="s">
        <v>147</v>
      </c>
      <c r="B13" s="17">
        <v>78</v>
      </c>
      <c r="C13" s="18" t="s">
        <v>7</v>
      </c>
      <c r="D13" s="3"/>
      <c r="E13" s="32" t="s">
        <v>176</v>
      </c>
      <c r="F13" s="46">
        <f>+WERKBLAD!J4</f>
        <v>2935.296</v>
      </c>
      <c r="G13" s="33" t="s">
        <v>6</v>
      </c>
    </row>
    <row r="14" spans="1:7" ht="12.75">
      <c r="A14" s="16" t="s">
        <v>148</v>
      </c>
      <c r="B14" s="17">
        <v>22</v>
      </c>
      <c r="C14" s="18" t="s">
        <v>7</v>
      </c>
      <c r="D14" s="3"/>
      <c r="E14" s="32" t="s">
        <v>177</v>
      </c>
      <c r="F14" s="46">
        <f>+WERKBLAD!J5</f>
        <v>3082.0608</v>
      </c>
      <c r="G14" s="33" t="s">
        <v>6</v>
      </c>
    </row>
    <row r="15" spans="1:4" ht="12.75">
      <c r="A15" s="16" t="s">
        <v>149</v>
      </c>
      <c r="B15" s="24">
        <v>0.12</v>
      </c>
      <c r="C15" s="18" t="s">
        <v>6</v>
      </c>
      <c r="D15" s="3"/>
    </row>
    <row r="16" spans="1:7" ht="12.75">
      <c r="A16" s="19" t="s">
        <v>150</v>
      </c>
      <c r="B16" s="20">
        <v>5</v>
      </c>
      <c r="C16" s="21" t="s">
        <v>47</v>
      </c>
      <c r="D16" s="3"/>
      <c r="E16" s="78" t="s">
        <v>53</v>
      </c>
      <c r="F16" s="79"/>
      <c r="G16" s="80"/>
    </row>
    <row r="17" spans="1:7" ht="12.75">
      <c r="A17" s="4" t="s">
        <v>187</v>
      </c>
      <c r="B17" s="5">
        <f>($B$13*$B$3)/1000</f>
        <v>7.8</v>
      </c>
      <c r="C17" s="6" t="s">
        <v>156</v>
      </c>
      <c r="D17" s="3"/>
      <c r="E17" s="31" t="s">
        <v>166</v>
      </c>
      <c r="F17" s="24">
        <v>30</v>
      </c>
      <c r="G17" s="18" t="s">
        <v>6</v>
      </c>
    </row>
    <row r="18" spans="1:7" ht="12.75">
      <c r="A18" s="4" t="s">
        <v>188</v>
      </c>
      <c r="B18" s="5">
        <f>($B$14*$B$3)/1000</f>
        <v>2.2</v>
      </c>
      <c r="C18" s="6" t="s">
        <v>156</v>
      </c>
      <c r="E18" s="63" t="s">
        <v>167</v>
      </c>
      <c r="F18" s="20">
        <v>7</v>
      </c>
      <c r="G18" s="21" t="s">
        <v>161</v>
      </c>
    </row>
    <row r="19" spans="1:7" ht="12.75">
      <c r="A19" s="4" t="s">
        <v>189</v>
      </c>
      <c r="B19" s="5">
        <f>$B$17*($B$6*$B$7)</f>
        <v>624</v>
      </c>
      <c r="C19" s="6" t="s">
        <v>157</v>
      </c>
      <c r="E19" s="32" t="s">
        <v>179</v>
      </c>
      <c r="F19" s="66">
        <f>((+$F$17/60)*$F$18)*B3</f>
        <v>350</v>
      </c>
      <c r="G19" s="33" t="s">
        <v>6</v>
      </c>
    </row>
    <row r="20" spans="1:3" ht="12.75">
      <c r="A20" s="4" t="s">
        <v>190</v>
      </c>
      <c r="B20" s="5">
        <f>$B$18*($B$6*$B$7)</f>
        <v>176</v>
      </c>
      <c r="C20" s="6" t="s">
        <v>157</v>
      </c>
    </row>
    <row r="21" spans="1:7" ht="12.75">
      <c r="A21" s="76" t="s">
        <v>191</v>
      </c>
      <c r="B21" s="5">
        <f>$B$19*$B$8</f>
        <v>32448</v>
      </c>
      <c r="C21" s="6" t="s">
        <v>157</v>
      </c>
      <c r="E21" s="78" t="s">
        <v>54</v>
      </c>
      <c r="F21" s="79"/>
      <c r="G21" s="80"/>
    </row>
    <row r="22" spans="1:7" ht="12.75">
      <c r="A22" s="75" t="s">
        <v>192</v>
      </c>
      <c r="B22" s="7">
        <f>$B$20*$B$8</f>
        <v>9152</v>
      </c>
      <c r="C22" s="8" t="s">
        <v>157</v>
      </c>
      <c r="E22" s="31" t="s">
        <v>166</v>
      </c>
      <c r="F22" s="24">
        <v>30</v>
      </c>
      <c r="G22" s="18" t="s">
        <v>6</v>
      </c>
    </row>
    <row r="23" spans="5:7" ht="12.75">
      <c r="E23" s="63" t="s">
        <v>168</v>
      </c>
      <c r="F23" s="20">
        <v>5</v>
      </c>
      <c r="G23" s="21" t="s">
        <v>161</v>
      </c>
    </row>
    <row r="24" spans="1:7" ht="12.75">
      <c r="A24" s="78" t="s">
        <v>133</v>
      </c>
      <c r="B24" s="79"/>
      <c r="C24" s="80"/>
      <c r="E24" s="10" t="s">
        <v>169</v>
      </c>
      <c r="F24" s="5">
        <f>(+$F$22/60)*$F$23</f>
        <v>2.5</v>
      </c>
      <c r="G24" s="6" t="s">
        <v>6</v>
      </c>
    </row>
    <row r="25" spans="1:7" ht="12.75">
      <c r="A25" s="16" t="s">
        <v>120</v>
      </c>
      <c r="B25" s="17">
        <v>4</v>
      </c>
      <c r="C25" s="18" t="s">
        <v>6</v>
      </c>
      <c r="E25" s="10" t="s">
        <v>180</v>
      </c>
      <c r="F25" s="2">
        <f>+$F$24*$B$3</f>
        <v>250</v>
      </c>
      <c r="G25" s="6" t="s">
        <v>6</v>
      </c>
    </row>
    <row r="26" spans="1:7" ht="12.75">
      <c r="A26" s="19" t="s">
        <v>121</v>
      </c>
      <c r="B26" s="20">
        <v>50</v>
      </c>
      <c r="C26" s="21" t="s">
        <v>6</v>
      </c>
      <c r="E26" s="10" t="s">
        <v>181</v>
      </c>
      <c r="F26" s="1">
        <f>ROUNDDOWN(($B$35/$B$34)-1,0)</f>
        <v>4</v>
      </c>
      <c r="G26" s="6" t="s">
        <v>154</v>
      </c>
    </row>
    <row r="27" spans="5:7" ht="12.75">
      <c r="E27" s="32" t="s">
        <v>182</v>
      </c>
      <c r="F27" s="46">
        <f>(F24*F26)*B3</f>
        <v>1000</v>
      </c>
      <c r="G27" s="33" t="s">
        <v>6</v>
      </c>
    </row>
    <row r="28" spans="1:3" ht="12.75">
      <c r="A28" s="78" t="s">
        <v>132</v>
      </c>
      <c r="B28" s="79"/>
      <c r="C28" s="80"/>
    </row>
    <row r="29" spans="1:7" ht="12.75">
      <c r="A29" s="4" t="s">
        <v>122</v>
      </c>
      <c r="B29" s="34" t="s">
        <v>8</v>
      </c>
      <c r="C29" s="74" t="s">
        <v>117</v>
      </c>
      <c r="E29" s="55" t="s">
        <v>55</v>
      </c>
      <c r="F29" s="56"/>
      <c r="G29" s="57"/>
    </row>
    <row r="30" spans="1:7" ht="12.75">
      <c r="A30" s="4" t="s">
        <v>123</v>
      </c>
      <c r="B30" s="34" t="s">
        <v>10</v>
      </c>
      <c r="C30" s="74" t="s">
        <v>117</v>
      </c>
      <c r="E30" s="9" t="s">
        <v>153</v>
      </c>
      <c r="F30" s="25">
        <f>B47*B15</f>
        <v>0</v>
      </c>
      <c r="G30" s="6" t="s">
        <v>6</v>
      </c>
    </row>
    <row r="31" spans="1:7" ht="12.75">
      <c r="A31" s="4" t="s">
        <v>124</v>
      </c>
      <c r="B31" s="34" t="s">
        <v>9</v>
      </c>
      <c r="C31" s="74" t="s">
        <v>117</v>
      </c>
      <c r="E31" s="10" t="s">
        <v>152</v>
      </c>
      <c r="F31" s="25">
        <f>B48*B15</f>
        <v>0</v>
      </c>
      <c r="G31" s="6" t="s">
        <v>6</v>
      </c>
    </row>
    <row r="32" spans="1:7" ht="12.75">
      <c r="A32" s="14" t="s">
        <v>125</v>
      </c>
      <c r="B32" s="28">
        <v>10000</v>
      </c>
      <c r="C32" s="69" t="s">
        <v>117</v>
      </c>
      <c r="E32" s="32" t="s">
        <v>183</v>
      </c>
      <c r="F32" s="46">
        <f>+F30-F31</f>
        <v>0</v>
      </c>
      <c r="G32" s="33" t="s">
        <v>6</v>
      </c>
    </row>
    <row r="33" spans="1:7" ht="12.75">
      <c r="A33" s="19" t="s">
        <v>126</v>
      </c>
      <c r="B33" s="29">
        <v>50000</v>
      </c>
      <c r="C33" s="71" t="s">
        <v>117</v>
      </c>
      <c r="E33" s="32" t="s">
        <v>184</v>
      </c>
      <c r="F33" s="46">
        <f>+WERKBLAD!O4</f>
        <v>0</v>
      </c>
      <c r="G33" s="33" t="s">
        <v>6</v>
      </c>
    </row>
    <row r="34" spans="1:7" ht="12.75">
      <c r="A34" s="76" t="s">
        <v>127</v>
      </c>
      <c r="B34" s="26">
        <f>+$B$32/$B$9</f>
        <v>2.4038461538461537</v>
      </c>
      <c r="C34" s="74" t="s">
        <v>160</v>
      </c>
      <c r="E34" s="32" t="s">
        <v>185</v>
      </c>
      <c r="F34" s="46">
        <f>+WERKBLAD!O5</f>
        <v>0</v>
      </c>
      <c r="G34" s="33" t="s">
        <v>6</v>
      </c>
    </row>
    <row r="35" spans="1:3" ht="12.75">
      <c r="A35" s="75" t="s">
        <v>128</v>
      </c>
      <c r="B35" s="27">
        <f>+$B$33/$B$9</f>
        <v>12.01923076923077</v>
      </c>
      <c r="C35" s="73" t="s">
        <v>160</v>
      </c>
    </row>
    <row r="36" spans="5:8" ht="12.75">
      <c r="E36" s="84" t="s">
        <v>136</v>
      </c>
      <c r="F36" s="85"/>
      <c r="G36" s="85"/>
      <c r="H36" s="86"/>
    </row>
    <row r="37" spans="1:8" ht="14.25">
      <c r="A37" s="78" t="s">
        <v>134</v>
      </c>
      <c r="B37" s="79"/>
      <c r="C37" s="80"/>
      <c r="E37" s="45" t="s">
        <v>151</v>
      </c>
      <c r="F37" s="45" t="s">
        <v>156</v>
      </c>
      <c r="G37" s="45" t="s">
        <v>34</v>
      </c>
      <c r="H37" s="45" t="s">
        <v>1</v>
      </c>
    </row>
    <row r="38" spans="1:8" ht="12.75">
      <c r="A38" s="11" t="s">
        <v>115</v>
      </c>
      <c r="B38" s="54" t="s">
        <v>50</v>
      </c>
      <c r="C38" s="13"/>
      <c r="E38" s="41" t="s">
        <v>56</v>
      </c>
      <c r="F38" s="42">
        <f>(B21-B22)+(B47-B48)</f>
        <v>23296</v>
      </c>
      <c r="G38" s="43">
        <f>F38*0.46/1000</f>
        <v>10.71616</v>
      </c>
      <c r="H38" s="44">
        <f>+WERKBLAD!Q3</f>
        <v>-2154.48</v>
      </c>
    </row>
    <row r="39" spans="1:8" ht="12.75">
      <c r="A39" s="4" t="s">
        <v>145</v>
      </c>
      <c r="B39" s="1">
        <f>IF(B38="N",0,+$B$13*0.8)</f>
        <v>0</v>
      </c>
      <c r="C39" s="74" t="s">
        <v>114</v>
      </c>
      <c r="E39" s="41" t="s">
        <v>57</v>
      </c>
      <c r="F39" s="42">
        <f>$F$38*2</f>
        <v>46592</v>
      </c>
      <c r="G39" s="43">
        <f aca="true" t="shared" si="0" ref="G39:G47">F39*0.46/1000</f>
        <v>21.43232</v>
      </c>
      <c r="H39" s="44">
        <f>+WERKBLAD!Q4</f>
        <v>780.8159999999998</v>
      </c>
    </row>
    <row r="40" spans="1:8" ht="12.75">
      <c r="A40" s="4" t="s">
        <v>144</v>
      </c>
      <c r="B40" s="1">
        <f>IF(B38="N",0,+$B$14*0.2)</f>
        <v>0</v>
      </c>
      <c r="C40" s="74" t="s">
        <v>114</v>
      </c>
      <c r="E40" s="41" t="s">
        <v>58</v>
      </c>
      <c r="F40" s="42">
        <f>$F$38*3</f>
        <v>69888</v>
      </c>
      <c r="G40" s="43">
        <f t="shared" si="0"/>
        <v>32.148480000000006</v>
      </c>
      <c r="H40" s="44">
        <f>+WERKBLAD!Q5</f>
        <v>4512.8768</v>
      </c>
    </row>
    <row r="41" spans="1:8" ht="12.75">
      <c r="A41" s="4"/>
      <c r="B41" s="1"/>
      <c r="C41" s="6"/>
      <c r="E41" s="41" t="s">
        <v>59</v>
      </c>
      <c r="F41" s="42">
        <f>$F$38*4</f>
        <v>93184</v>
      </c>
      <c r="G41" s="43">
        <f t="shared" si="0"/>
        <v>42.86464</v>
      </c>
      <c r="H41" s="44">
        <f>+WERKBLAD!Q6</f>
        <v>7749.04064</v>
      </c>
    </row>
    <row r="42" spans="1:8" ht="12.75">
      <c r="A42" s="4" t="s">
        <v>143</v>
      </c>
      <c r="B42" s="1"/>
      <c r="C42" s="6"/>
      <c r="E42" s="41" t="s">
        <v>60</v>
      </c>
      <c r="F42" s="42">
        <f>$F$38*5</f>
        <v>116480</v>
      </c>
      <c r="G42" s="43">
        <f t="shared" si="0"/>
        <v>53.5808</v>
      </c>
      <c r="H42" s="44">
        <f>+WERKBLAD!Q7</f>
        <v>11797.012672</v>
      </c>
    </row>
    <row r="43" spans="1:8" ht="12.75">
      <c r="A43" s="4" t="s">
        <v>137</v>
      </c>
      <c r="B43" s="30">
        <f>(+$B$39/1000)*0.4</f>
        <v>0</v>
      </c>
      <c r="C43" s="74" t="s">
        <v>158</v>
      </c>
      <c r="E43" s="41" t="s">
        <v>61</v>
      </c>
      <c r="F43" s="42">
        <f>$F$38*6</f>
        <v>139776</v>
      </c>
      <c r="G43" s="43">
        <f t="shared" si="0"/>
        <v>64.29696000000001</v>
      </c>
      <c r="H43" s="44">
        <f>+WERKBLAD!Q8</f>
        <v>15364.8833056</v>
      </c>
    </row>
    <row r="44" spans="1:8" ht="12.75">
      <c r="A44" s="4" t="s">
        <v>138</v>
      </c>
      <c r="B44" s="30">
        <f>(+$B$40/1000)*0.4</f>
        <v>0</v>
      </c>
      <c r="C44" s="74" t="s">
        <v>158</v>
      </c>
      <c r="E44" s="41" t="s">
        <v>62</v>
      </c>
      <c r="F44" s="42">
        <f>$F$38*7</f>
        <v>163072</v>
      </c>
      <c r="G44" s="43">
        <f t="shared" si="0"/>
        <v>75.01312000000001</v>
      </c>
      <c r="H44" s="44">
        <f>+WERKBLAD!Q9</f>
        <v>19111.14747088</v>
      </c>
    </row>
    <row r="45" spans="1:8" ht="12.75">
      <c r="A45" s="4" t="s">
        <v>139</v>
      </c>
      <c r="B45" s="30">
        <f>+$B$3*$B$43</f>
        <v>0</v>
      </c>
      <c r="C45" s="74" t="s">
        <v>158</v>
      </c>
      <c r="E45" s="41" t="s">
        <v>63</v>
      </c>
      <c r="F45" s="42">
        <f>$F$38*8</f>
        <v>186368</v>
      </c>
      <c r="G45" s="43">
        <f t="shared" si="0"/>
        <v>85.72928</v>
      </c>
      <c r="H45" s="44">
        <f>+WERKBLAD!Q10</f>
        <v>23694.724844424003</v>
      </c>
    </row>
    <row r="46" spans="1:8" ht="12.75">
      <c r="A46" s="4" t="s">
        <v>140</v>
      </c>
      <c r="B46" s="30">
        <f>+$B$44*$B$3</f>
        <v>0</v>
      </c>
      <c r="C46" s="74" t="s">
        <v>158</v>
      </c>
      <c r="E46" s="41" t="s">
        <v>64</v>
      </c>
      <c r="F46" s="42">
        <f>$F$38*9</f>
        <v>209664</v>
      </c>
      <c r="G46" s="43">
        <f t="shared" si="0"/>
        <v>96.44544</v>
      </c>
      <c r="H46" s="44">
        <f>+WERKBLAD!Q11</f>
        <v>27824.981086645203</v>
      </c>
    </row>
    <row r="47" spans="1:8" ht="12.75">
      <c r="A47" s="76" t="s">
        <v>141</v>
      </c>
      <c r="B47" s="5">
        <f>$B$45*($B$6*$B$7*$B$8)</f>
        <v>0</v>
      </c>
      <c r="C47" s="74" t="s">
        <v>159</v>
      </c>
      <c r="E47" s="41" t="s">
        <v>65</v>
      </c>
      <c r="F47" s="42">
        <f>$F$38*10</f>
        <v>232960</v>
      </c>
      <c r="G47" s="43">
        <f t="shared" si="0"/>
        <v>107.1616</v>
      </c>
      <c r="H47" s="44">
        <f>+WERKBLAD!Q12</f>
        <v>32811.75014097746</v>
      </c>
    </row>
    <row r="48" spans="1:8" ht="15.75">
      <c r="A48" s="75" t="s">
        <v>142</v>
      </c>
      <c r="B48" s="7">
        <f>$B$46*($B$6*$B$7*$B$8)</f>
        <v>0</v>
      </c>
      <c r="C48" s="73" t="s">
        <v>159</v>
      </c>
      <c r="E48" s="60" t="s">
        <v>135</v>
      </c>
      <c r="F48" s="61" t="s">
        <v>162</v>
      </c>
      <c r="G48" s="61"/>
      <c r="H48" s="61"/>
    </row>
    <row r="83" ht="34.5">
      <c r="B83" s="67">
        <f>-((+B21-B22)/B21)</f>
        <v>-0.717948717948718</v>
      </c>
    </row>
  </sheetData>
  <sheetProtection/>
  <mergeCells count="11">
    <mergeCell ref="A28:C28"/>
    <mergeCell ref="A37:C37"/>
    <mergeCell ref="A1:H1"/>
    <mergeCell ref="E36:H36"/>
    <mergeCell ref="E21:G21"/>
    <mergeCell ref="A5:C5"/>
    <mergeCell ref="A12:C12"/>
    <mergeCell ref="A24:C24"/>
    <mergeCell ref="E16:G16"/>
    <mergeCell ref="E3:G3"/>
    <mergeCell ref="E9:G9"/>
  </mergeCells>
  <printOptions/>
  <pageMargins left="0.2362204724409449" right="0.2755905511811024" top="0" bottom="0.35433070866141736" header="0.5118110236220472" footer="0.1968503937007874"/>
  <pageSetup fitToHeight="2" fitToWidth="1" horizontalDpi="600" verticalDpi="600" orientation="landscape" paperSize="9" scale="86" r:id="rId2"/>
  <headerFooter alignWithMargins="0">
    <oddFooter>&amp;L&amp;8P.A. SYSTEMS NV - Bergemeersenstraat 137 9300 Aalst Tel +32 (0)53 71 09 42&amp;R&amp;8erwin@nextgenerationled.be  donald@nextgenerationled.be</oddFooter>
  </headerFooter>
  <rowBreaks count="1" manualBreakCount="1">
    <brk id="4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zoomScalePageLayoutView="0" workbookViewId="0" topLeftCell="A31">
      <selection activeCell="A40" sqref="A40"/>
    </sheetView>
  </sheetViews>
  <sheetFormatPr defaultColWidth="9.140625" defaultRowHeight="12.75"/>
  <cols>
    <col min="1" max="1" width="13.00390625" style="0" customWidth="1"/>
    <col min="2" max="3" width="10.28125" style="0" customWidth="1"/>
    <col min="4" max="4" width="12.421875" style="0" customWidth="1"/>
    <col min="5" max="6" width="10.28125" style="0" customWidth="1"/>
    <col min="7" max="8" width="12.7109375" style="0" customWidth="1"/>
    <col min="9" max="9" width="12.28125" style="0" customWidth="1"/>
    <col min="10" max="10" width="12.140625" style="0" customWidth="1"/>
    <col min="11" max="11" width="11.00390625" style="0" customWidth="1"/>
    <col min="12" max="12" width="13.00390625" style="0" customWidth="1"/>
    <col min="13" max="13" width="13.7109375" style="0" customWidth="1"/>
    <col min="14" max="14" width="13.140625" style="0" customWidth="1"/>
    <col min="15" max="15" width="12.00390625" style="0" customWidth="1"/>
    <col min="16" max="16" width="13.140625" style="0" customWidth="1"/>
    <col min="17" max="17" width="15.28125" style="0" customWidth="1"/>
    <col min="24" max="24" width="10.7109375" style="0" bestFit="1" customWidth="1"/>
  </cols>
  <sheetData>
    <row r="1" ht="12.75">
      <c r="A1" s="62" t="s">
        <v>42</v>
      </c>
    </row>
    <row r="2" spans="1:19" ht="45" customHeight="1">
      <c r="A2" s="48" t="s">
        <v>41</v>
      </c>
      <c r="B2" s="47" t="s">
        <v>22</v>
      </c>
      <c r="C2" s="47" t="s">
        <v>23</v>
      </c>
      <c r="D2" s="50" t="s">
        <v>26</v>
      </c>
      <c r="E2" s="47" t="s">
        <v>21</v>
      </c>
      <c r="F2" s="47" t="s">
        <v>24</v>
      </c>
      <c r="G2" s="50" t="s">
        <v>25</v>
      </c>
      <c r="H2" s="50" t="s">
        <v>48</v>
      </c>
      <c r="I2" s="50" t="s">
        <v>27</v>
      </c>
      <c r="J2" s="50" t="s">
        <v>28</v>
      </c>
      <c r="K2" s="47" t="s">
        <v>40</v>
      </c>
      <c r="L2" s="50" t="s">
        <v>29</v>
      </c>
      <c r="M2" s="50" t="s">
        <v>49</v>
      </c>
      <c r="N2" s="50" t="s">
        <v>30</v>
      </c>
      <c r="O2" s="50" t="s">
        <v>31</v>
      </c>
      <c r="P2" s="50" t="s">
        <v>32</v>
      </c>
      <c r="Q2" s="50" t="s">
        <v>33</v>
      </c>
      <c r="R2" s="35"/>
      <c r="S2" s="35"/>
    </row>
    <row r="3" spans="1:17" ht="12.75">
      <c r="A3" s="49" t="s">
        <v>2</v>
      </c>
      <c r="B3" s="38">
        <f>1/HOOFDDOCUMENT!$B$35</f>
        <v>0.0832</v>
      </c>
      <c r="C3" s="40">
        <f>ROUNDDOWN(B3,0)</f>
        <v>0</v>
      </c>
      <c r="D3" s="51">
        <f>IF(+C3=1,HOOFDDOCUMENT!$F$6*2,HOOFDDOCUMENT!$F$6*1)</f>
        <v>5000</v>
      </c>
      <c r="E3" s="38">
        <f>1/HOOFDDOCUMENT!$B$34</f>
        <v>0.41600000000000004</v>
      </c>
      <c r="F3" s="37">
        <f>ROUNDDOWN(E3,0)</f>
        <v>0</v>
      </c>
      <c r="G3" s="51">
        <f>IF(+F3=1,HOOFDDOCUMENT!$F$4*2,HOOFDDOCUMENT!$F$4*1)</f>
        <v>400</v>
      </c>
      <c r="H3" s="64">
        <f>HOOFDDOCUMENT!$B$15</f>
        <v>0.12</v>
      </c>
      <c r="I3" s="52">
        <f>(HOOFDDOCUMENT!$B$21-HOOFDDOCUMENT!$B$22)</f>
        <v>23296</v>
      </c>
      <c r="J3" s="51">
        <f>I3*H3</f>
        <v>2795.52</v>
      </c>
      <c r="K3" s="39">
        <f aca="true" t="shared" si="0" ref="K3:K22">F3-C3</f>
        <v>0</v>
      </c>
      <c r="L3" s="51">
        <f>IF(+K3=1,HOOFDDOCUMENT!$F$25*1,HOOFDDOCUMENT!$F$25*0)</f>
        <v>0</v>
      </c>
      <c r="M3" s="51">
        <f>HOOFDDOCUMENT!F19</f>
        <v>350</v>
      </c>
      <c r="N3" s="52">
        <f>HOOFDDOCUMENT!$B$47-HOOFDDOCUMENT!$B$48</f>
        <v>0</v>
      </c>
      <c r="O3" s="51">
        <f>N3*H3</f>
        <v>0</v>
      </c>
      <c r="P3" s="51">
        <f>(+O3+L3+J3+G3)-D3-M3</f>
        <v>-2154.48</v>
      </c>
      <c r="Q3" s="53">
        <f>+P3</f>
        <v>-2154.48</v>
      </c>
    </row>
    <row r="4" spans="1:17" ht="12.75">
      <c r="A4" s="49" t="s">
        <v>3</v>
      </c>
      <c r="B4" s="38">
        <f>2/HOOFDDOCUMENT!$B$35</f>
        <v>0.1664</v>
      </c>
      <c r="C4" s="40">
        <f aca="true" t="shared" si="1" ref="C4:C22">ROUNDDOWN(B4,0)</f>
        <v>0</v>
      </c>
      <c r="D4" s="51">
        <f>IF(+C4=C3,0,(+C4-C3)*HOOFDDOCUMENT!$F$6)</f>
        <v>0</v>
      </c>
      <c r="E4" s="38">
        <f>2/HOOFDDOCUMENT!$B$34</f>
        <v>0.8320000000000001</v>
      </c>
      <c r="F4" s="37">
        <f aca="true" t="shared" si="2" ref="F4:F22">ROUNDDOWN(E4,0)</f>
        <v>0</v>
      </c>
      <c r="G4" s="51">
        <f>IF(+F4=F3,0,(+F4-F3)*HOOFDDOCUMENT!$F$4)</f>
        <v>0</v>
      </c>
      <c r="H4" s="64">
        <f>H3*(1+(HOOFDDOCUMENT!$B$16/100))</f>
        <v>0.126</v>
      </c>
      <c r="I4" s="52">
        <f>(HOOFDDOCUMENT!$B$21-HOOFDDOCUMENT!$B$22)</f>
        <v>23296</v>
      </c>
      <c r="J4" s="51">
        <f aca="true" t="shared" si="3" ref="J4:J22">I4*H4</f>
        <v>2935.296</v>
      </c>
      <c r="K4" s="39">
        <f t="shared" si="0"/>
        <v>0</v>
      </c>
      <c r="L4" s="51">
        <f>IF(+K4=K3,0,(+K4-K3)*HOOFDDOCUMENT!$F$25)</f>
        <v>0</v>
      </c>
      <c r="M4" s="51">
        <v>0</v>
      </c>
      <c r="N4" s="52">
        <f>HOOFDDOCUMENT!$B$47-HOOFDDOCUMENT!$B$48</f>
        <v>0</v>
      </c>
      <c r="O4" s="51">
        <f aca="true" t="shared" si="4" ref="O4:O22">N4*H4</f>
        <v>0</v>
      </c>
      <c r="P4" s="51">
        <f>(+O4+L4+J4+G4)-D4-M4</f>
        <v>2935.296</v>
      </c>
      <c r="Q4" s="53">
        <f>+Q3+P4</f>
        <v>780.8159999999998</v>
      </c>
    </row>
    <row r="5" spans="1:17" ht="12.75">
      <c r="A5" s="49" t="s">
        <v>0</v>
      </c>
      <c r="B5" s="38">
        <f>3/HOOFDDOCUMENT!$B$35</f>
        <v>0.2496</v>
      </c>
      <c r="C5" s="40">
        <f t="shared" si="1"/>
        <v>0</v>
      </c>
      <c r="D5" s="51">
        <f>IF(+C5=C4,0,(+C5-C4)*HOOFDDOCUMENT!$F$6)</f>
        <v>0</v>
      </c>
      <c r="E5" s="38">
        <f>3/HOOFDDOCUMENT!$B$34</f>
        <v>1.248</v>
      </c>
      <c r="F5" s="37">
        <f t="shared" si="2"/>
        <v>1</v>
      </c>
      <c r="G5" s="51">
        <f>IF(+F5=F4,0,(F5-F4)*HOOFDDOCUMENT!$F$4)</f>
        <v>400</v>
      </c>
      <c r="H5" s="64">
        <f>H4*(1+(HOOFDDOCUMENT!$B$16/100))</f>
        <v>0.1323</v>
      </c>
      <c r="I5" s="52">
        <f>(HOOFDDOCUMENT!$B$21-HOOFDDOCUMENT!$B$22)</f>
        <v>23296</v>
      </c>
      <c r="J5" s="51">
        <f t="shared" si="3"/>
        <v>3082.0608</v>
      </c>
      <c r="K5" s="39">
        <f t="shared" si="0"/>
        <v>1</v>
      </c>
      <c r="L5" s="51">
        <f>IF(+K5=K4,0,(+K5-K4)*HOOFDDOCUMENT!$F$25)</f>
        <v>250</v>
      </c>
      <c r="M5" s="51">
        <v>0</v>
      </c>
      <c r="N5" s="52">
        <f>HOOFDDOCUMENT!$B$47-HOOFDDOCUMENT!$B$48</f>
        <v>0</v>
      </c>
      <c r="O5" s="51">
        <f t="shared" si="4"/>
        <v>0</v>
      </c>
      <c r="P5" s="51">
        <f aca="true" t="shared" si="5" ref="P5:P22">(+O5+L5+J5+G5)-D5-M5</f>
        <v>3732.0608</v>
      </c>
      <c r="Q5" s="53">
        <f aca="true" t="shared" si="6" ref="Q5:Q17">+Q4+P5</f>
        <v>4512.8768</v>
      </c>
    </row>
    <row r="6" spans="1:17" ht="12.75">
      <c r="A6" s="49" t="s">
        <v>4</v>
      </c>
      <c r="B6" s="38">
        <f>4/HOOFDDOCUMENT!$B$35</f>
        <v>0.3328</v>
      </c>
      <c r="C6" s="40">
        <f t="shared" si="1"/>
        <v>0</v>
      </c>
      <c r="D6" s="51">
        <f>IF(+C6=C5,0,(+C6-C5)*HOOFDDOCUMENT!$F$6)</f>
        <v>0</v>
      </c>
      <c r="E6" s="38">
        <f>4/HOOFDDOCUMENT!$B$34</f>
        <v>1.6640000000000001</v>
      </c>
      <c r="F6" s="37">
        <f t="shared" si="2"/>
        <v>1</v>
      </c>
      <c r="G6" s="51">
        <f>IF(+F6=F5,0,(F6-F5)*HOOFDDOCUMENT!$F$4)</f>
        <v>0</v>
      </c>
      <c r="H6" s="64">
        <f>H5*(1+(HOOFDDOCUMENT!$B$16/100))</f>
        <v>0.138915</v>
      </c>
      <c r="I6" s="52">
        <f>(HOOFDDOCUMENT!$B$21-HOOFDDOCUMENT!$B$22)</f>
        <v>23296</v>
      </c>
      <c r="J6" s="51">
        <f t="shared" si="3"/>
        <v>3236.16384</v>
      </c>
      <c r="K6" s="39">
        <f t="shared" si="0"/>
        <v>1</v>
      </c>
      <c r="L6" s="51">
        <f>IF(+K6=K5,0,(+K6-K5)*HOOFDDOCUMENT!$F$25)</f>
        <v>0</v>
      </c>
      <c r="M6" s="51">
        <v>0</v>
      </c>
      <c r="N6" s="52">
        <f>HOOFDDOCUMENT!$B$47-HOOFDDOCUMENT!$B$48</f>
        <v>0</v>
      </c>
      <c r="O6" s="51">
        <f t="shared" si="4"/>
        <v>0</v>
      </c>
      <c r="P6" s="51">
        <f t="shared" si="5"/>
        <v>3236.16384</v>
      </c>
      <c r="Q6" s="53">
        <f t="shared" si="6"/>
        <v>7749.04064</v>
      </c>
    </row>
    <row r="7" spans="1:17" ht="12.75">
      <c r="A7" s="49" t="s">
        <v>5</v>
      </c>
      <c r="B7" s="38">
        <f>5/HOOFDDOCUMENT!$B$35</f>
        <v>0.416</v>
      </c>
      <c r="C7" s="40">
        <f t="shared" si="1"/>
        <v>0</v>
      </c>
      <c r="D7" s="51">
        <f>IF(+C7=C6,0,(+C7-C6)*HOOFDDOCUMENT!$F$6)</f>
        <v>0</v>
      </c>
      <c r="E7" s="38">
        <f>5/HOOFDDOCUMENT!$B$34</f>
        <v>2.08</v>
      </c>
      <c r="F7" s="37">
        <f t="shared" si="2"/>
        <v>2</v>
      </c>
      <c r="G7" s="51">
        <f>IF(+F7=F6,0,(F7-F6)*HOOFDDOCUMENT!$F$4)</f>
        <v>400</v>
      </c>
      <c r="H7" s="64">
        <f>H6*(1+(HOOFDDOCUMENT!$B$16/100))</f>
        <v>0.14586075</v>
      </c>
      <c r="I7" s="52">
        <f>(HOOFDDOCUMENT!$B$21-HOOFDDOCUMENT!$B$22)</f>
        <v>23296</v>
      </c>
      <c r="J7" s="51">
        <f t="shared" si="3"/>
        <v>3397.972032</v>
      </c>
      <c r="K7" s="39">
        <f t="shared" si="0"/>
        <v>2</v>
      </c>
      <c r="L7" s="51">
        <f>IF(+K7=K6,0,(+K7-K6)*HOOFDDOCUMENT!$F$25)</f>
        <v>250</v>
      </c>
      <c r="M7" s="51">
        <v>0</v>
      </c>
      <c r="N7" s="52">
        <f>HOOFDDOCUMENT!$B$47-HOOFDDOCUMENT!$B$48</f>
        <v>0</v>
      </c>
      <c r="O7" s="51">
        <f t="shared" si="4"/>
        <v>0</v>
      </c>
      <c r="P7" s="51">
        <f t="shared" si="5"/>
        <v>4047.972032</v>
      </c>
      <c r="Q7" s="53">
        <f t="shared" si="6"/>
        <v>11797.012672</v>
      </c>
    </row>
    <row r="8" spans="1:17" ht="12.75">
      <c r="A8" s="49" t="s">
        <v>11</v>
      </c>
      <c r="B8" s="38">
        <f>6/HOOFDDOCUMENT!$B$35</f>
        <v>0.4992</v>
      </c>
      <c r="C8" s="40">
        <f t="shared" si="1"/>
        <v>0</v>
      </c>
      <c r="D8" s="51">
        <f>IF(+C8=C7,0,(+C8-C7)*HOOFDDOCUMENT!$F$6)</f>
        <v>0</v>
      </c>
      <c r="E8" s="38">
        <f>6/HOOFDDOCUMENT!$B$34</f>
        <v>2.496</v>
      </c>
      <c r="F8" s="37">
        <f t="shared" si="2"/>
        <v>2</v>
      </c>
      <c r="G8" s="51">
        <f>IF(+F8=F7,0,(F8-F7)*HOOFDDOCUMENT!$F$4)</f>
        <v>0</v>
      </c>
      <c r="H8" s="64">
        <f>H7*(1+(HOOFDDOCUMENT!$B$16/100))</f>
        <v>0.15315378750000003</v>
      </c>
      <c r="I8" s="52">
        <f>(HOOFDDOCUMENT!$B$21-HOOFDDOCUMENT!$B$22)</f>
        <v>23296</v>
      </c>
      <c r="J8" s="51">
        <f t="shared" si="3"/>
        <v>3567.8706336000005</v>
      </c>
      <c r="K8" s="39">
        <f t="shared" si="0"/>
        <v>2</v>
      </c>
      <c r="L8" s="51">
        <f>IF(+K8=K7,0,(+K8-K7)*HOOFDDOCUMENT!$F$25)</f>
        <v>0</v>
      </c>
      <c r="M8" s="51">
        <v>0</v>
      </c>
      <c r="N8" s="52">
        <f>HOOFDDOCUMENT!$B$47-HOOFDDOCUMENT!$B$48</f>
        <v>0</v>
      </c>
      <c r="O8" s="51">
        <f t="shared" si="4"/>
        <v>0</v>
      </c>
      <c r="P8" s="51">
        <f t="shared" si="5"/>
        <v>3567.8706336000005</v>
      </c>
      <c r="Q8" s="53">
        <f t="shared" si="6"/>
        <v>15364.8833056</v>
      </c>
    </row>
    <row r="9" spans="1:17" ht="12.75">
      <c r="A9" s="49" t="s">
        <v>12</v>
      </c>
      <c r="B9" s="38">
        <f>7/HOOFDDOCUMENT!$B$35</f>
        <v>0.5823999999999999</v>
      </c>
      <c r="C9" s="40">
        <f t="shared" si="1"/>
        <v>0</v>
      </c>
      <c r="D9" s="51">
        <f>IF(+C9=C8,0,(+C9-C8)*HOOFDDOCUMENT!$F$6)</f>
        <v>0</v>
      </c>
      <c r="E9" s="38">
        <f>7/HOOFDDOCUMENT!$B$34</f>
        <v>2.912</v>
      </c>
      <c r="F9" s="37">
        <f t="shared" si="2"/>
        <v>2</v>
      </c>
      <c r="G9" s="51">
        <f>IF(+F9=F8,0,(F9-F8)*HOOFDDOCUMENT!$F$4)</f>
        <v>0</v>
      </c>
      <c r="H9" s="64">
        <f>H8*(1+(HOOFDDOCUMENT!$B$16/100))</f>
        <v>0.16081147687500003</v>
      </c>
      <c r="I9" s="52">
        <f>(HOOFDDOCUMENT!$B$21-HOOFDDOCUMENT!$B$22)</f>
        <v>23296</v>
      </c>
      <c r="J9" s="51">
        <f t="shared" si="3"/>
        <v>3746.2641652800007</v>
      </c>
      <c r="K9" s="39">
        <f t="shared" si="0"/>
        <v>2</v>
      </c>
      <c r="L9" s="51">
        <f>IF(+K9=K8,0,(+K9-K8)*HOOFDDOCUMENT!$F$25)</f>
        <v>0</v>
      </c>
      <c r="M9" s="51">
        <v>0</v>
      </c>
      <c r="N9" s="52">
        <f>HOOFDDOCUMENT!$B$47-HOOFDDOCUMENT!$B$48</f>
        <v>0</v>
      </c>
      <c r="O9" s="51">
        <f t="shared" si="4"/>
        <v>0</v>
      </c>
      <c r="P9" s="51">
        <f t="shared" si="5"/>
        <v>3746.2641652800007</v>
      </c>
      <c r="Q9" s="53">
        <f t="shared" si="6"/>
        <v>19111.14747088</v>
      </c>
    </row>
    <row r="10" spans="1:17" ht="12.75">
      <c r="A10" s="49" t="s">
        <v>13</v>
      </c>
      <c r="B10" s="38">
        <f>8/HOOFDDOCUMENT!$B$35</f>
        <v>0.6656</v>
      </c>
      <c r="C10" s="40">
        <f t="shared" si="1"/>
        <v>0</v>
      </c>
      <c r="D10" s="51">
        <f>IF(+C10=C9,0,(+C10-C9)*HOOFDDOCUMENT!$F$6)</f>
        <v>0</v>
      </c>
      <c r="E10" s="38">
        <f>8/HOOFDDOCUMENT!$B$34</f>
        <v>3.3280000000000003</v>
      </c>
      <c r="F10" s="37">
        <f t="shared" si="2"/>
        <v>3</v>
      </c>
      <c r="G10" s="51">
        <f>IF(+F10=F9,0,(F10-F9)*HOOFDDOCUMENT!$F$4)</f>
        <v>400</v>
      </c>
      <c r="H10" s="64">
        <f>H9*(1+(HOOFDDOCUMENT!$B$16/100))</f>
        <v>0.16885205071875004</v>
      </c>
      <c r="I10" s="52">
        <f>(HOOFDDOCUMENT!$B$21-HOOFDDOCUMENT!$B$22)</f>
        <v>23296</v>
      </c>
      <c r="J10" s="51">
        <f t="shared" si="3"/>
        <v>3933.5773735440007</v>
      </c>
      <c r="K10" s="39">
        <f t="shared" si="0"/>
        <v>3</v>
      </c>
      <c r="L10" s="51">
        <f>IF(+K10=K9,0,(+K10-K9)*HOOFDDOCUMENT!$F$25)</f>
        <v>250</v>
      </c>
      <c r="M10" s="51">
        <v>0</v>
      </c>
      <c r="N10" s="52">
        <f>HOOFDDOCUMENT!$B$47-HOOFDDOCUMENT!$B$48</f>
        <v>0</v>
      </c>
      <c r="O10" s="51">
        <f t="shared" si="4"/>
        <v>0</v>
      </c>
      <c r="P10" s="51">
        <f t="shared" si="5"/>
        <v>4583.577373544001</v>
      </c>
      <c r="Q10" s="53">
        <f t="shared" si="6"/>
        <v>23694.724844424003</v>
      </c>
    </row>
    <row r="11" spans="1:17" ht="12.75">
      <c r="A11" s="49" t="s">
        <v>14</v>
      </c>
      <c r="B11" s="38">
        <f>9/HOOFDDOCUMENT!$B$35</f>
        <v>0.7487999999999999</v>
      </c>
      <c r="C11" s="40">
        <f t="shared" si="1"/>
        <v>0</v>
      </c>
      <c r="D11" s="51">
        <f>IF(+C11=C10,0,(+C11-C10)*HOOFDDOCUMENT!$F$6)</f>
        <v>0</v>
      </c>
      <c r="E11" s="38">
        <f>9/HOOFDDOCUMENT!$B$34</f>
        <v>3.744</v>
      </c>
      <c r="F11" s="37">
        <f t="shared" si="2"/>
        <v>3</v>
      </c>
      <c r="G11" s="51">
        <f>IF(+F11=F10,0,(F11-F10)*HOOFDDOCUMENT!$F$4)</f>
        <v>0</v>
      </c>
      <c r="H11" s="64">
        <f>H10*(1+(HOOFDDOCUMENT!$B$16/100))</f>
        <v>0.17729465325468755</v>
      </c>
      <c r="I11" s="52">
        <f>(HOOFDDOCUMENT!$B$21-HOOFDDOCUMENT!$B$22)</f>
        <v>23296</v>
      </c>
      <c r="J11" s="51">
        <f t="shared" si="3"/>
        <v>4130.256242221201</v>
      </c>
      <c r="K11" s="39">
        <f t="shared" si="0"/>
        <v>3</v>
      </c>
      <c r="L11" s="51">
        <f>IF(+K11=K10,0,(+K11-K10)*HOOFDDOCUMENT!$F$25)</f>
        <v>0</v>
      </c>
      <c r="M11" s="51">
        <v>0</v>
      </c>
      <c r="N11" s="52">
        <f>HOOFDDOCUMENT!$B$47-HOOFDDOCUMENT!$B$48</f>
        <v>0</v>
      </c>
      <c r="O11" s="51">
        <f t="shared" si="4"/>
        <v>0</v>
      </c>
      <c r="P11" s="51">
        <f t="shared" si="5"/>
        <v>4130.256242221201</v>
      </c>
      <c r="Q11" s="53">
        <f t="shared" si="6"/>
        <v>27824.981086645203</v>
      </c>
    </row>
    <row r="12" spans="1:17" ht="12.75">
      <c r="A12" s="49" t="s">
        <v>15</v>
      </c>
      <c r="B12" s="38">
        <f>10/HOOFDDOCUMENT!$B$35</f>
        <v>0.832</v>
      </c>
      <c r="C12" s="40">
        <f t="shared" si="1"/>
        <v>0</v>
      </c>
      <c r="D12" s="51">
        <f>IF(+C12=C11,0,(+C12-C11)*HOOFDDOCUMENT!$F$6)</f>
        <v>0</v>
      </c>
      <c r="E12" s="38">
        <f>10/HOOFDDOCUMENT!$B$34</f>
        <v>4.16</v>
      </c>
      <c r="F12" s="37">
        <f t="shared" si="2"/>
        <v>4</v>
      </c>
      <c r="G12" s="51">
        <f>IF(+F12=F11,0,(F12-F11)*HOOFDDOCUMENT!$F$4)</f>
        <v>400</v>
      </c>
      <c r="H12" s="64">
        <f>H11*(1+(HOOFDDOCUMENT!$B$16/100))</f>
        <v>0.18615938591742193</v>
      </c>
      <c r="I12" s="52">
        <f>(HOOFDDOCUMENT!$B$21-HOOFDDOCUMENT!$B$22)</f>
        <v>23296</v>
      </c>
      <c r="J12" s="51">
        <f t="shared" si="3"/>
        <v>4336.7690543322615</v>
      </c>
      <c r="K12" s="39">
        <f t="shared" si="0"/>
        <v>4</v>
      </c>
      <c r="L12" s="51">
        <f>IF(+K12=K11,0,(+K12-K11)*HOOFDDOCUMENT!$F$25)</f>
        <v>250</v>
      </c>
      <c r="M12" s="51">
        <v>0</v>
      </c>
      <c r="N12" s="52">
        <f>HOOFDDOCUMENT!$B$47-HOOFDDOCUMENT!$B$48</f>
        <v>0</v>
      </c>
      <c r="O12" s="51">
        <f t="shared" si="4"/>
        <v>0</v>
      </c>
      <c r="P12" s="51">
        <f t="shared" si="5"/>
        <v>4986.7690543322615</v>
      </c>
      <c r="Q12" s="53">
        <f t="shared" si="6"/>
        <v>32811.75014097746</v>
      </c>
    </row>
    <row r="13" spans="1:17" ht="12.75">
      <c r="A13" s="49" t="s">
        <v>16</v>
      </c>
      <c r="B13" s="38">
        <f>11/HOOFDDOCUMENT!$B$35</f>
        <v>0.9151999999999999</v>
      </c>
      <c r="C13" s="40">
        <f t="shared" si="1"/>
        <v>0</v>
      </c>
      <c r="D13" s="51">
        <f>IF(+C13=C12,0,(+C13-C12)*HOOFDDOCUMENT!$F$6)</f>
        <v>0</v>
      </c>
      <c r="E13" s="38">
        <f>11/HOOFDDOCUMENT!$B$34</f>
        <v>4.5760000000000005</v>
      </c>
      <c r="F13" s="37">
        <f t="shared" si="2"/>
        <v>4</v>
      </c>
      <c r="G13" s="51">
        <f>IF(+F13=F12,0,(F13-F12)*HOOFDDOCUMENT!$F$4)</f>
        <v>0</v>
      </c>
      <c r="H13" s="64">
        <f>H12*(1+(HOOFDDOCUMENT!$B$16/100))</f>
        <v>0.19546735521329303</v>
      </c>
      <c r="I13" s="52">
        <f>(HOOFDDOCUMENT!$B$21-HOOFDDOCUMENT!$B$22)</f>
        <v>23296</v>
      </c>
      <c r="J13" s="51">
        <f t="shared" si="3"/>
        <v>4553.607507048874</v>
      </c>
      <c r="K13" s="39">
        <f t="shared" si="0"/>
        <v>4</v>
      </c>
      <c r="L13" s="51">
        <f>IF(+K13=K12,0,(+K13-K12)*HOOFDDOCUMENT!$F$25)</f>
        <v>0</v>
      </c>
      <c r="M13" s="51">
        <v>0</v>
      </c>
      <c r="N13" s="52">
        <f>HOOFDDOCUMENT!$B$47-HOOFDDOCUMENT!$B$48</f>
        <v>0</v>
      </c>
      <c r="O13" s="51">
        <f t="shared" si="4"/>
        <v>0</v>
      </c>
      <c r="P13" s="51">
        <f t="shared" si="5"/>
        <v>4553.607507048874</v>
      </c>
      <c r="Q13" s="53">
        <f t="shared" si="6"/>
        <v>37365.35764802634</v>
      </c>
    </row>
    <row r="14" spans="1:17" ht="12.75">
      <c r="A14" s="49" t="s">
        <v>17</v>
      </c>
      <c r="B14" s="38">
        <f>12/HOOFDDOCUMENT!$B$35</f>
        <v>0.9984</v>
      </c>
      <c r="C14" s="40">
        <f t="shared" si="1"/>
        <v>0</v>
      </c>
      <c r="D14" s="51">
        <f>IF(+C14=C13,0,(+C14-C13)*HOOFDDOCUMENT!$F$6)</f>
        <v>0</v>
      </c>
      <c r="E14" s="38">
        <f>12/HOOFDDOCUMENT!$B$34</f>
        <v>4.992</v>
      </c>
      <c r="F14" s="37">
        <f t="shared" si="2"/>
        <v>4</v>
      </c>
      <c r="G14" s="51">
        <f>IF(+F14=F13,0,(F14-F13)*HOOFDDOCUMENT!$F$4)</f>
        <v>0</v>
      </c>
      <c r="H14" s="64">
        <f>H13*(1+(HOOFDDOCUMENT!$B$16/100))</f>
        <v>0.20524072297395768</v>
      </c>
      <c r="I14" s="52">
        <f>(HOOFDDOCUMENT!$B$21-HOOFDDOCUMENT!$B$22)</f>
        <v>23296</v>
      </c>
      <c r="J14" s="51">
        <f t="shared" si="3"/>
        <v>4781.287882401318</v>
      </c>
      <c r="K14" s="39">
        <f t="shared" si="0"/>
        <v>4</v>
      </c>
      <c r="L14" s="51">
        <f>IF(+K14=K13,0,(+K14-K13)*HOOFDDOCUMENT!$F$25)</f>
        <v>0</v>
      </c>
      <c r="M14" s="51">
        <v>0</v>
      </c>
      <c r="N14" s="52">
        <f>HOOFDDOCUMENT!$B$47-HOOFDDOCUMENT!$B$48</f>
        <v>0</v>
      </c>
      <c r="O14" s="51">
        <f t="shared" si="4"/>
        <v>0</v>
      </c>
      <c r="P14" s="51">
        <f t="shared" si="5"/>
        <v>4781.287882401318</v>
      </c>
      <c r="Q14" s="53">
        <f t="shared" si="6"/>
        <v>42146.64553042765</v>
      </c>
    </row>
    <row r="15" spans="1:17" ht="12.75">
      <c r="A15" s="49" t="s">
        <v>18</v>
      </c>
      <c r="B15" s="38">
        <f>13/HOOFDDOCUMENT!$B$35</f>
        <v>1.0816</v>
      </c>
      <c r="C15" s="40">
        <f t="shared" si="1"/>
        <v>1</v>
      </c>
      <c r="D15" s="51">
        <f>IF(+C15=C14,0,(+C15-C14)*HOOFDDOCUMENT!$F$6)</f>
        <v>5000</v>
      </c>
      <c r="E15" s="38">
        <f>13/HOOFDDOCUMENT!$B$34</f>
        <v>5.408</v>
      </c>
      <c r="F15" s="37">
        <f t="shared" si="2"/>
        <v>5</v>
      </c>
      <c r="G15" s="51">
        <f>IF(+F15=F14,0,(F15-F14)*HOOFDDOCUMENT!$F$4)</f>
        <v>400</v>
      </c>
      <c r="H15" s="64">
        <f>H14*(1+(HOOFDDOCUMENT!$B$16/100))</f>
        <v>0.21550275912265557</v>
      </c>
      <c r="I15" s="52">
        <f>(HOOFDDOCUMENT!$B$21-HOOFDDOCUMENT!$B$22)</f>
        <v>23296</v>
      </c>
      <c r="J15" s="51">
        <f t="shared" si="3"/>
        <v>5020.352276521384</v>
      </c>
      <c r="K15" s="39">
        <f t="shared" si="0"/>
        <v>4</v>
      </c>
      <c r="L15" s="51">
        <f>IF(+K15=K14,0,(+K15-K14)*HOOFDDOCUMENT!$F$25)</f>
        <v>0</v>
      </c>
      <c r="M15" s="51">
        <v>0</v>
      </c>
      <c r="N15" s="52">
        <f>HOOFDDOCUMENT!$B$47-HOOFDDOCUMENT!$B$48</f>
        <v>0</v>
      </c>
      <c r="O15" s="51">
        <f t="shared" si="4"/>
        <v>0</v>
      </c>
      <c r="P15" s="51">
        <f t="shared" si="5"/>
        <v>420.3522765213838</v>
      </c>
      <c r="Q15" s="53">
        <f t="shared" si="6"/>
        <v>42566.99780694904</v>
      </c>
    </row>
    <row r="16" spans="1:17" ht="12.75">
      <c r="A16" s="49" t="s">
        <v>19</v>
      </c>
      <c r="B16" s="38">
        <f>14/HOOFDDOCUMENT!$B$35</f>
        <v>1.1647999999999998</v>
      </c>
      <c r="C16" s="40">
        <f t="shared" si="1"/>
        <v>1</v>
      </c>
      <c r="D16" s="51">
        <f>IF(+C16=C15,0,(+C16-C15)*HOOFDDOCUMENT!$F$6)</f>
        <v>0</v>
      </c>
      <c r="E16" s="38">
        <f>14/HOOFDDOCUMENT!$B$34</f>
        <v>5.824</v>
      </c>
      <c r="F16" s="37">
        <f t="shared" si="2"/>
        <v>5</v>
      </c>
      <c r="G16" s="51">
        <f>IF(+F16=F15,0,(F16-F15)*HOOFDDOCUMENT!$F$4)</f>
        <v>0</v>
      </c>
      <c r="H16" s="64">
        <f>H15*(1+(HOOFDDOCUMENT!$B$16/100))</f>
        <v>0.22627789707878834</v>
      </c>
      <c r="I16" s="52">
        <f>(HOOFDDOCUMENT!$B$21-HOOFDDOCUMENT!$B$22)</f>
        <v>23296</v>
      </c>
      <c r="J16" s="51">
        <f t="shared" si="3"/>
        <v>5271.369890347453</v>
      </c>
      <c r="K16" s="39">
        <f t="shared" si="0"/>
        <v>4</v>
      </c>
      <c r="L16" s="51">
        <f>IF(+K16=K15,0,(+K16-K15)*HOOFDDOCUMENT!$F$25)</f>
        <v>0</v>
      </c>
      <c r="M16" s="51">
        <v>0</v>
      </c>
      <c r="N16" s="52">
        <f>HOOFDDOCUMENT!$B$47-HOOFDDOCUMENT!$B$48</f>
        <v>0</v>
      </c>
      <c r="O16" s="51">
        <f t="shared" si="4"/>
        <v>0</v>
      </c>
      <c r="P16" s="51">
        <f t="shared" si="5"/>
        <v>5271.369890347453</v>
      </c>
      <c r="Q16" s="53">
        <f t="shared" si="6"/>
        <v>47838.36769729649</v>
      </c>
    </row>
    <row r="17" spans="1:17" ht="12.75">
      <c r="A17" s="49" t="s">
        <v>20</v>
      </c>
      <c r="B17" s="38">
        <f>15/HOOFDDOCUMENT!$B$35</f>
        <v>1.248</v>
      </c>
      <c r="C17" s="40">
        <f t="shared" si="1"/>
        <v>1</v>
      </c>
      <c r="D17" s="51">
        <f>IF(+C17=C16,0,(+C17-C16)*HOOFDDOCUMENT!$F$6)</f>
        <v>0</v>
      </c>
      <c r="E17" s="38">
        <f>15/HOOFDDOCUMENT!$B$34</f>
        <v>6.24</v>
      </c>
      <c r="F17" s="37">
        <f t="shared" si="2"/>
        <v>6</v>
      </c>
      <c r="G17" s="51">
        <f>IF(+F17=F16,0,(F17-F16)*HOOFDDOCUMENT!$F$4)</f>
        <v>400</v>
      </c>
      <c r="H17" s="64">
        <f>H16*(1+(HOOFDDOCUMENT!$B$16/100))</f>
        <v>0.23759179193272778</v>
      </c>
      <c r="I17" s="52">
        <f>(HOOFDDOCUMENT!$B$21-HOOFDDOCUMENT!$B$22)</f>
        <v>23296</v>
      </c>
      <c r="J17" s="51">
        <f t="shared" si="3"/>
        <v>5534.938384864827</v>
      </c>
      <c r="K17" s="39">
        <f t="shared" si="0"/>
        <v>5</v>
      </c>
      <c r="L17" s="51">
        <f>IF(+K17=K16,0,(+K17-K16)*HOOFDDOCUMENT!$F$25)</f>
        <v>250</v>
      </c>
      <c r="M17" s="51">
        <v>0</v>
      </c>
      <c r="N17" s="52">
        <f>HOOFDDOCUMENT!$B$47-HOOFDDOCUMENT!$B$48</f>
        <v>0</v>
      </c>
      <c r="O17" s="51">
        <f t="shared" si="4"/>
        <v>0</v>
      </c>
      <c r="P17" s="51">
        <f t="shared" si="5"/>
        <v>6184.938384864827</v>
      </c>
      <c r="Q17" s="53">
        <f t="shared" si="6"/>
        <v>54023.30608216132</v>
      </c>
    </row>
    <row r="18" spans="1:17" ht="12.75">
      <c r="A18" s="49" t="s">
        <v>35</v>
      </c>
      <c r="B18" s="38">
        <f>16/HOOFDDOCUMENT!$B$35</f>
        <v>1.3312</v>
      </c>
      <c r="C18" s="40">
        <f t="shared" si="1"/>
        <v>1</v>
      </c>
      <c r="D18" s="51">
        <f>IF(+C18=C17,0,(+C18-C17)*HOOFDDOCUMENT!$F$6)</f>
        <v>0</v>
      </c>
      <c r="E18" s="38">
        <f>16/HOOFDDOCUMENT!$B$34</f>
        <v>6.656000000000001</v>
      </c>
      <c r="F18" s="37">
        <f t="shared" si="2"/>
        <v>6</v>
      </c>
      <c r="G18" s="51">
        <f>IF(+F18=F17,0,(F18-F17)*HOOFDDOCUMENT!$F$4)</f>
        <v>0</v>
      </c>
      <c r="H18" s="64">
        <f>H17*(1+(HOOFDDOCUMENT!$B$16/100))</f>
        <v>0.24947138152936418</v>
      </c>
      <c r="I18" s="52">
        <f>(HOOFDDOCUMENT!$B$21-HOOFDDOCUMENT!$B$22)</f>
        <v>23296</v>
      </c>
      <c r="J18" s="51">
        <f t="shared" si="3"/>
        <v>5811.685304108068</v>
      </c>
      <c r="K18" s="39">
        <f t="shared" si="0"/>
        <v>5</v>
      </c>
      <c r="L18" s="51">
        <f>IF(+K18=K17,0,(+K18-K17)*HOOFDDOCUMENT!$F$25)</f>
        <v>0</v>
      </c>
      <c r="M18" s="51">
        <v>0</v>
      </c>
      <c r="N18" s="52">
        <f>HOOFDDOCUMENT!$B$47-HOOFDDOCUMENT!$B$48</f>
        <v>0</v>
      </c>
      <c r="O18" s="51">
        <f t="shared" si="4"/>
        <v>0</v>
      </c>
      <c r="P18" s="51">
        <f t="shared" si="5"/>
        <v>5811.685304108068</v>
      </c>
      <c r="Q18" s="53">
        <f>+Q17+P18</f>
        <v>59834.99138626939</v>
      </c>
    </row>
    <row r="19" spans="1:17" ht="12.75">
      <c r="A19" s="49" t="s">
        <v>36</v>
      </c>
      <c r="B19" s="38">
        <f>17/HOOFDDOCUMENT!$B$35</f>
        <v>1.4143999999999999</v>
      </c>
      <c r="C19" s="40">
        <f t="shared" si="1"/>
        <v>1</v>
      </c>
      <c r="D19" s="51">
        <f>IF(+C19=C18,0,(+C19-C18)*HOOFDDOCUMENT!$F$6)</f>
        <v>0</v>
      </c>
      <c r="E19" s="38">
        <f>17/HOOFDDOCUMENT!$B$34</f>
        <v>7.072</v>
      </c>
      <c r="F19" s="37">
        <f t="shared" si="2"/>
        <v>7</v>
      </c>
      <c r="G19" s="51">
        <f>IF(+F19=F18,0,(F19-F18)*HOOFDDOCUMENT!$F$4)</f>
        <v>400</v>
      </c>
      <c r="H19" s="64">
        <f>H18*(1+(HOOFDDOCUMENT!$B$16/100))</f>
        <v>0.2619449506058324</v>
      </c>
      <c r="I19" s="52">
        <f>(HOOFDDOCUMENT!$B$21-HOOFDDOCUMENT!$B$22)</f>
        <v>23296</v>
      </c>
      <c r="J19" s="51">
        <f t="shared" si="3"/>
        <v>6102.269569313471</v>
      </c>
      <c r="K19" s="39">
        <f t="shared" si="0"/>
        <v>6</v>
      </c>
      <c r="L19" s="51">
        <f>IF(+K19=K18,0,(+K19-K18)*HOOFDDOCUMENT!$F$25)</f>
        <v>250</v>
      </c>
      <c r="M19" s="51">
        <v>0</v>
      </c>
      <c r="N19" s="52">
        <f>HOOFDDOCUMENT!$B$47-HOOFDDOCUMENT!$B$48</f>
        <v>0</v>
      </c>
      <c r="O19" s="51">
        <f t="shared" si="4"/>
        <v>0</v>
      </c>
      <c r="P19" s="51">
        <f t="shared" si="5"/>
        <v>6752.269569313471</v>
      </c>
      <c r="Q19" s="53">
        <f>+Q18+P19</f>
        <v>66587.26095558285</v>
      </c>
    </row>
    <row r="20" spans="1:17" ht="12.75">
      <c r="A20" s="49" t="s">
        <v>37</v>
      </c>
      <c r="B20" s="38">
        <f>18/HOOFDDOCUMENT!$B$35</f>
        <v>1.4975999999999998</v>
      </c>
      <c r="C20" s="40">
        <f t="shared" si="1"/>
        <v>1</v>
      </c>
      <c r="D20" s="51">
        <f>IF(+C20=C19,0,(+C20-C19)*HOOFDDOCUMENT!$F$6)</f>
        <v>0</v>
      </c>
      <c r="E20" s="38">
        <f>18/HOOFDDOCUMENT!$B$34</f>
        <v>7.488</v>
      </c>
      <c r="F20" s="37">
        <f t="shared" si="2"/>
        <v>7</v>
      </c>
      <c r="G20" s="51">
        <f>IF(+F20=F19,0,(F20-F19)*HOOFDDOCUMENT!$F$4)</f>
        <v>0</v>
      </c>
      <c r="H20" s="64">
        <f>H19*(1+(HOOFDDOCUMENT!$B$16/100))</f>
        <v>0.275042198136124</v>
      </c>
      <c r="I20" s="52">
        <f>(HOOFDDOCUMENT!$B$21-HOOFDDOCUMENT!$B$22)</f>
        <v>23296</v>
      </c>
      <c r="J20" s="51">
        <f t="shared" si="3"/>
        <v>6407.383047779145</v>
      </c>
      <c r="K20" s="39">
        <f t="shared" si="0"/>
        <v>6</v>
      </c>
      <c r="L20" s="51">
        <f>IF(+K20=K19,0,(+K20-K19)*HOOFDDOCUMENT!$F$25)</f>
        <v>0</v>
      </c>
      <c r="M20" s="51">
        <v>0</v>
      </c>
      <c r="N20" s="52">
        <f>HOOFDDOCUMENT!$B$47-HOOFDDOCUMENT!$B$48</f>
        <v>0</v>
      </c>
      <c r="O20" s="51">
        <f t="shared" si="4"/>
        <v>0</v>
      </c>
      <c r="P20" s="51">
        <f t="shared" si="5"/>
        <v>6407.383047779145</v>
      </c>
      <c r="Q20" s="53">
        <f>+Q19+P20</f>
        <v>72994.644003362</v>
      </c>
    </row>
    <row r="21" spans="1:17" ht="12.75">
      <c r="A21" s="49" t="s">
        <v>38</v>
      </c>
      <c r="B21" s="38">
        <f>19/HOOFDDOCUMENT!$B$35</f>
        <v>1.5808</v>
      </c>
      <c r="C21" s="40">
        <f t="shared" si="1"/>
        <v>1</v>
      </c>
      <c r="D21" s="51">
        <f>IF(+C21=C20,0,(+C21-C20)*HOOFDDOCUMENT!$F$6)</f>
        <v>0</v>
      </c>
      <c r="E21" s="38">
        <f>19/HOOFDDOCUMENT!$B$34</f>
        <v>7.904</v>
      </c>
      <c r="F21" s="37">
        <f t="shared" si="2"/>
        <v>7</v>
      </c>
      <c r="G21" s="51">
        <f>IF(+F21=F20,0,(F21-F20)*HOOFDDOCUMENT!$F$4)</f>
        <v>0</v>
      </c>
      <c r="H21" s="64">
        <f>H20*(1+(HOOFDDOCUMENT!$B$16/100))</f>
        <v>0.2887943080429302</v>
      </c>
      <c r="I21" s="52">
        <f>(HOOFDDOCUMENT!$B$21-HOOFDDOCUMENT!$B$22)</f>
        <v>23296</v>
      </c>
      <c r="J21" s="51">
        <f t="shared" si="3"/>
        <v>6727.752200168103</v>
      </c>
      <c r="K21" s="39">
        <f t="shared" si="0"/>
        <v>6</v>
      </c>
      <c r="L21" s="51">
        <f>IF(+K21=K20,0,(+K21-K20)*HOOFDDOCUMENT!$F$25)</f>
        <v>0</v>
      </c>
      <c r="M21" s="51">
        <v>0</v>
      </c>
      <c r="N21" s="52">
        <f>HOOFDDOCUMENT!$B$47-HOOFDDOCUMENT!$B$48</f>
        <v>0</v>
      </c>
      <c r="O21" s="51">
        <f t="shared" si="4"/>
        <v>0</v>
      </c>
      <c r="P21" s="51">
        <f t="shared" si="5"/>
        <v>6727.752200168103</v>
      </c>
      <c r="Q21" s="53">
        <f>+Q20+P21</f>
        <v>79722.39620353011</v>
      </c>
    </row>
    <row r="22" spans="1:17" ht="12.75">
      <c r="A22" s="49" t="s">
        <v>39</v>
      </c>
      <c r="B22" s="38">
        <f>20/HOOFDDOCUMENT!$B$35</f>
        <v>1.664</v>
      </c>
      <c r="C22" s="40">
        <f t="shared" si="1"/>
        <v>1</v>
      </c>
      <c r="D22" s="51">
        <f>IF(+C22=C21,0,(+C22-C21)*HOOFDDOCUMENT!$F$6)</f>
        <v>0</v>
      </c>
      <c r="E22" s="38">
        <f>20/HOOFDDOCUMENT!$B$34</f>
        <v>8.32</v>
      </c>
      <c r="F22" s="37">
        <f t="shared" si="2"/>
        <v>8</v>
      </c>
      <c r="G22" s="51">
        <f>IF(+F22=F21,0,(F22-F21)*HOOFDDOCUMENT!$F$4)</f>
        <v>400</v>
      </c>
      <c r="H22" s="64">
        <f>H21*(1+(HOOFDDOCUMENT!$B$16/100))</f>
        <v>0.3032340234450767</v>
      </c>
      <c r="I22" s="52">
        <f>(HOOFDDOCUMENT!$B$21-HOOFDDOCUMENT!$B$22)</f>
        <v>23296</v>
      </c>
      <c r="J22" s="51">
        <f t="shared" si="3"/>
        <v>7064.139810176507</v>
      </c>
      <c r="K22" s="39">
        <f t="shared" si="0"/>
        <v>7</v>
      </c>
      <c r="L22" s="51">
        <f>IF(+K22=K21,0,(+K22-K21)*HOOFDDOCUMENT!$F$25)</f>
        <v>250</v>
      </c>
      <c r="M22" s="51">
        <v>0</v>
      </c>
      <c r="N22" s="52">
        <f>HOOFDDOCUMENT!$B$47-HOOFDDOCUMENT!$B$48</f>
        <v>0</v>
      </c>
      <c r="O22" s="51">
        <f t="shared" si="4"/>
        <v>0</v>
      </c>
      <c r="P22" s="51">
        <f t="shared" si="5"/>
        <v>7714.139810176507</v>
      </c>
      <c r="Q22" s="53">
        <f>+Q21+P22</f>
        <v>87436.53601370662</v>
      </c>
    </row>
    <row r="23" spans="12:13" ht="12.75">
      <c r="L23" s="36"/>
      <c r="M23" s="36"/>
    </row>
    <row r="25" ht="12.75">
      <c r="A25" s="62" t="s">
        <v>44</v>
      </c>
    </row>
    <row r="26" spans="1:8" ht="12.75">
      <c r="A26" s="58">
        <v>0.083</v>
      </c>
      <c r="B26">
        <f>+HOOFDDOCUMENT!$B$35</f>
        <v>12.01923076923077</v>
      </c>
      <c r="C26">
        <f>+ROUNDDOWN(B26,0)</f>
        <v>12</v>
      </c>
      <c r="D26">
        <f>+B26-C26</f>
        <v>0.01923076923077005</v>
      </c>
      <c r="E26">
        <f>+D26/A26</f>
        <v>0.2316960148285548</v>
      </c>
      <c r="F26">
        <f>ROUNDUP(E26,0)</f>
        <v>1</v>
      </c>
      <c r="G26">
        <f>(C26*12)+F26</f>
        <v>145</v>
      </c>
      <c r="H26" t="s">
        <v>45</v>
      </c>
    </row>
    <row r="27" spans="1:8" ht="12.75">
      <c r="A27" s="58">
        <v>0.083</v>
      </c>
      <c r="B27">
        <f>+HOOFDDOCUMENT!$B$34</f>
        <v>2.4038461538461537</v>
      </c>
      <c r="C27">
        <f>+ROUNDDOWN(B27,0)</f>
        <v>2</v>
      </c>
      <c r="D27">
        <f>+B27-C27</f>
        <v>0.40384615384615374</v>
      </c>
      <c r="E27">
        <f>+D27/A27</f>
        <v>4.865616311399442</v>
      </c>
      <c r="F27">
        <f>ROUNDUP(E27,0)</f>
        <v>5</v>
      </c>
      <c r="G27">
        <f>(C27*12)+F27</f>
        <v>29</v>
      </c>
      <c r="H27" t="s">
        <v>45</v>
      </c>
    </row>
    <row r="30" ht="12.75">
      <c r="A30" t="s">
        <v>43</v>
      </c>
    </row>
    <row r="31" spans="1:17" ht="38.25">
      <c r="A31" s="48" t="s">
        <v>41</v>
      </c>
      <c r="B31" s="47" t="s">
        <v>22</v>
      </c>
      <c r="C31" s="47" t="s">
        <v>23</v>
      </c>
      <c r="D31" s="50" t="s">
        <v>26</v>
      </c>
      <c r="E31" s="47" t="s">
        <v>21</v>
      </c>
      <c r="F31" s="47" t="s">
        <v>24</v>
      </c>
      <c r="G31" s="50" t="s">
        <v>25</v>
      </c>
      <c r="H31" s="50" t="s">
        <v>48</v>
      </c>
      <c r="I31" s="50" t="s">
        <v>27</v>
      </c>
      <c r="J31" s="50" t="s">
        <v>28</v>
      </c>
      <c r="K31" s="47" t="s">
        <v>40</v>
      </c>
      <c r="L31" s="50" t="s">
        <v>29</v>
      </c>
      <c r="M31" s="50" t="s">
        <v>49</v>
      </c>
      <c r="N31" s="50" t="s">
        <v>30</v>
      </c>
      <c r="O31" s="50" t="s">
        <v>31</v>
      </c>
      <c r="P31" s="50" t="s">
        <v>32</v>
      </c>
      <c r="Q31" s="50" t="s">
        <v>33</v>
      </c>
    </row>
    <row r="32" spans="1:22" ht="14.25">
      <c r="A32" s="49" t="s">
        <v>66</v>
      </c>
      <c r="B32" s="59">
        <f>1/$G$26</f>
        <v>0.006896551724137931</v>
      </c>
      <c r="C32" s="40">
        <f>ROUNDDOWN(B32,0)</f>
        <v>0</v>
      </c>
      <c r="D32" s="51">
        <f>IF(+C32=1,HOOFDDOCUMENT!$F$6*2,HOOFDDOCUMENT!$F$6*1)</f>
        <v>5000</v>
      </c>
      <c r="E32" s="59">
        <f>1/$G$27</f>
        <v>0.034482758620689655</v>
      </c>
      <c r="F32" s="37">
        <f>ROUNDDOWN(E32,0)</f>
        <v>0</v>
      </c>
      <c r="G32" s="51">
        <f>IF(+F32=1,HOOFDDOCUMENT!$F$4*2,HOOFDDOCUMENT!$F$4*1)</f>
        <v>400</v>
      </c>
      <c r="H32" s="65">
        <f>HOOFDDOCUMENT!$B$15</f>
        <v>0.12</v>
      </c>
      <c r="I32" s="52">
        <f>(HOOFDDOCUMENT!$B$19-HOOFDDOCUMENT!$B$20)*4.3452</f>
        <v>1946.6496000000002</v>
      </c>
      <c r="J32" s="51">
        <f>I32*H32</f>
        <v>233.59795200000002</v>
      </c>
      <c r="K32" s="39">
        <f aca="true" t="shared" si="7" ref="K32:K51">F32-C32</f>
        <v>0</v>
      </c>
      <c r="L32" s="51">
        <f>IF(+K32=1,HOOFDDOCUMENT!$F$25*1,HOOFDDOCUMENT!$F$25*0)</f>
        <v>0</v>
      </c>
      <c r="M32" s="51">
        <f>HOOFDDOCUMENT!F19</f>
        <v>350</v>
      </c>
      <c r="N32" s="52">
        <f>((HOOFDDOCUMENT!$B$45-HOOFDDOCUMENT!$B$46)*(HOOFDDOCUMENT!$B$6*HOOFDDOCUMENT!$B$7))*4.3452</f>
        <v>0</v>
      </c>
      <c r="O32" s="51">
        <f>N32*H32</f>
        <v>0</v>
      </c>
      <c r="P32" s="51">
        <f>(+O32+L32+J32+G32)-D32-M32</f>
        <v>-4716.402048</v>
      </c>
      <c r="Q32" s="53">
        <f>+P32</f>
        <v>-4716.402048</v>
      </c>
      <c r="R32">
        <f>IF(Q32&lt;0,0,1)</f>
        <v>0</v>
      </c>
      <c r="S32">
        <f>R32</f>
        <v>0</v>
      </c>
      <c r="T32" t="str">
        <f aca="true" t="shared" si="8" ref="T32:T79">A32</f>
        <v>1- IERE MOIS</v>
      </c>
      <c r="U32" t="s">
        <v>46</v>
      </c>
      <c r="V32" t="str">
        <f>VLOOKUP(U32,S32:T79,2)</f>
        <v>21-IEME MOIS</v>
      </c>
    </row>
    <row r="33" spans="1:20" ht="14.25">
      <c r="A33" s="49" t="s">
        <v>67</v>
      </c>
      <c r="B33" s="59">
        <f>B32+1/$G$26</f>
        <v>0.013793103448275862</v>
      </c>
      <c r="C33" s="40">
        <f aca="true" t="shared" si="9" ref="C33:C79">ROUNDDOWN(B33,0)</f>
        <v>0</v>
      </c>
      <c r="D33" s="51">
        <f>IF(+C33=C32,0,(+C33-C32)*HOOFDDOCUMENT!$F$6)</f>
        <v>0</v>
      </c>
      <c r="E33" s="59">
        <f>E32+1/$G$27</f>
        <v>0.06896551724137931</v>
      </c>
      <c r="F33" s="37">
        <f aca="true" t="shared" si="10" ref="F33:F79">ROUNDDOWN(E33,0)</f>
        <v>0</v>
      </c>
      <c r="G33" s="51">
        <f>IF(+F33=F32,0,(+F33-F32)*HOOFDDOCUMENT!$F$4)</f>
        <v>0</v>
      </c>
      <c r="H33" s="65">
        <f>$H$32</f>
        <v>0.12</v>
      </c>
      <c r="I33" s="52">
        <f>(HOOFDDOCUMENT!$B$19-HOOFDDOCUMENT!$B$20)*4.3452</f>
        <v>1946.6496000000002</v>
      </c>
      <c r="J33" s="51">
        <f aca="true" t="shared" si="11" ref="J33:J79">I33*H33</f>
        <v>233.59795200000002</v>
      </c>
      <c r="K33" s="39">
        <f t="shared" si="7"/>
        <v>0</v>
      </c>
      <c r="L33" s="51">
        <f>IF(+K33=K32,0,(+K33-K32)*HOOFDDOCUMENT!$F$25)</f>
        <v>0</v>
      </c>
      <c r="M33" s="51">
        <v>0</v>
      </c>
      <c r="N33" s="52">
        <f>((HOOFDDOCUMENT!$B$45-HOOFDDOCUMENT!$B$46)*(HOOFDDOCUMENT!$B$6*HOOFDDOCUMENT!$B$7))*4.3452</f>
        <v>0</v>
      </c>
      <c r="O33" s="51">
        <f aca="true" t="shared" si="12" ref="O33:O79">N33*H33</f>
        <v>0</v>
      </c>
      <c r="P33" s="51">
        <f>(+O33+L33+J33+G33)-D33-M33</f>
        <v>233.59795200000002</v>
      </c>
      <c r="Q33" s="53">
        <f>+Q32+P33</f>
        <v>-4482.804096</v>
      </c>
      <c r="R33">
        <f aca="true" t="shared" si="13" ref="R33:R79">IF(Q33&lt;0,0,1)</f>
        <v>0</v>
      </c>
      <c r="S33">
        <f>IF(R33=R32,0,"ROI")</f>
        <v>0</v>
      </c>
      <c r="T33" t="str">
        <f t="shared" si="8"/>
        <v>2-IEME MOIS</v>
      </c>
    </row>
    <row r="34" spans="1:20" ht="14.25">
      <c r="A34" s="49" t="s">
        <v>68</v>
      </c>
      <c r="B34" s="59">
        <f aca="true" t="shared" si="14" ref="B34:B79">B33+1/$G$26</f>
        <v>0.020689655172413793</v>
      </c>
      <c r="C34" s="40">
        <f t="shared" si="9"/>
        <v>0</v>
      </c>
      <c r="D34" s="51">
        <f>IF(+C34=C33,0,(+C34-C33)*HOOFDDOCUMENT!$F$6)</f>
        <v>0</v>
      </c>
      <c r="E34" s="59">
        <f aca="true" t="shared" si="15" ref="E34:E79">E33+1/$G$27</f>
        <v>0.10344827586206896</v>
      </c>
      <c r="F34" s="37">
        <f t="shared" si="10"/>
        <v>0</v>
      </c>
      <c r="G34" s="51">
        <f>IF(+F34=F33,0,(+F34-F33)*HOOFDDOCUMENT!$F$4)</f>
        <v>0</v>
      </c>
      <c r="H34" s="65">
        <f aca="true" t="shared" si="16" ref="H34:H43">$H$32</f>
        <v>0.12</v>
      </c>
      <c r="I34" s="52">
        <f>(HOOFDDOCUMENT!$B$19-HOOFDDOCUMENT!$B$20)*4.3452</f>
        <v>1946.6496000000002</v>
      </c>
      <c r="J34" s="51">
        <f t="shared" si="11"/>
        <v>233.59795200000002</v>
      </c>
      <c r="K34" s="39">
        <f t="shared" si="7"/>
        <v>0</v>
      </c>
      <c r="L34" s="51">
        <f>IF(+K34=K33,0,(+K34-K33)*HOOFDDOCUMENT!$F$25)</f>
        <v>0</v>
      </c>
      <c r="M34" s="51">
        <v>0</v>
      </c>
      <c r="N34" s="52">
        <f>((HOOFDDOCUMENT!$B$45-HOOFDDOCUMENT!$B$46)*(HOOFDDOCUMENT!$B$6*HOOFDDOCUMENT!$B$7))*4.3452</f>
        <v>0</v>
      </c>
      <c r="O34" s="51">
        <f t="shared" si="12"/>
        <v>0</v>
      </c>
      <c r="P34" s="51">
        <f aca="true" t="shared" si="17" ref="P34:P79">(+O34+L34+J34+G34)-D34-M34</f>
        <v>233.59795200000002</v>
      </c>
      <c r="Q34" s="53">
        <f aca="true" t="shared" si="18" ref="Q34:Q79">+Q33+P34</f>
        <v>-4249.206144</v>
      </c>
      <c r="R34">
        <f t="shared" si="13"/>
        <v>0</v>
      </c>
      <c r="S34">
        <f aca="true" t="shared" si="19" ref="S34:S79">IF(R34=R33,0,"ROI")</f>
        <v>0</v>
      </c>
      <c r="T34" t="str">
        <f t="shared" si="8"/>
        <v>3-IEME MOIS</v>
      </c>
    </row>
    <row r="35" spans="1:20" ht="14.25">
      <c r="A35" s="49" t="s">
        <v>69</v>
      </c>
      <c r="B35" s="59">
        <f t="shared" si="14"/>
        <v>0.027586206896551724</v>
      </c>
      <c r="C35" s="40">
        <f t="shared" si="9"/>
        <v>0</v>
      </c>
      <c r="D35" s="51">
        <f>IF(+C35=C34,0,(+C35-C34)*HOOFDDOCUMENT!$F$6)</f>
        <v>0</v>
      </c>
      <c r="E35" s="59">
        <f t="shared" si="15"/>
        <v>0.13793103448275862</v>
      </c>
      <c r="F35" s="37">
        <f t="shared" si="10"/>
        <v>0</v>
      </c>
      <c r="G35" s="51">
        <f>IF(+F35=F34,0,(+F35-F34)*HOOFDDOCUMENT!$F$4)</f>
        <v>0</v>
      </c>
      <c r="H35" s="65">
        <f t="shared" si="16"/>
        <v>0.12</v>
      </c>
      <c r="I35" s="52">
        <f>(HOOFDDOCUMENT!$B$19-HOOFDDOCUMENT!$B$20)*4.3452</f>
        <v>1946.6496000000002</v>
      </c>
      <c r="J35" s="51">
        <f t="shared" si="11"/>
        <v>233.59795200000002</v>
      </c>
      <c r="K35" s="39">
        <f t="shared" si="7"/>
        <v>0</v>
      </c>
      <c r="L35" s="51">
        <f>IF(+K35=K34,0,(+K35-K34)*HOOFDDOCUMENT!$F$25)</f>
        <v>0</v>
      </c>
      <c r="M35" s="51">
        <v>0</v>
      </c>
      <c r="N35" s="52">
        <f>((HOOFDDOCUMENT!$B$45-HOOFDDOCUMENT!$B$46)*(HOOFDDOCUMENT!$B$6*HOOFDDOCUMENT!$B$7))*4.3452</f>
        <v>0</v>
      </c>
      <c r="O35" s="51">
        <f t="shared" si="12"/>
        <v>0</v>
      </c>
      <c r="P35" s="51">
        <f t="shared" si="17"/>
        <v>233.59795200000002</v>
      </c>
      <c r="Q35" s="53">
        <f t="shared" si="18"/>
        <v>-4015.6081919999997</v>
      </c>
      <c r="R35">
        <f t="shared" si="13"/>
        <v>0</v>
      </c>
      <c r="S35">
        <f t="shared" si="19"/>
        <v>0</v>
      </c>
      <c r="T35" t="str">
        <f t="shared" si="8"/>
        <v>4-IEME MOIS</v>
      </c>
    </row>
    <row r="36" spans="1:20" ht="14.25">
      <c r="A36" s="49" t="s">
        <v>70</v>
      </c>
      <c r="B36" s="59">
        <f t="shared" si="14"/>
        <v>0.034482758620689655</v>
      </c>
      <c r="C36" s="40">
        <f t="shared" si="9"/>
        <v>0</v>
      </c>
      <c r="D36" s="51">
        <f>IF(+C36=C35,0,(+C36-C35)*HOOFDDOCUMENT!$F$6)</f>
        <v>0</v>
      </c>
      <c r="E36" s="59">
        <f t="shared" si="15"/>
        <v>0.1724137931034483</v>
      </c>
      <c r="F36" s="37">
        <f t="shared" si="10"/>
        <v>0</v>
      </c>
      <c r="G36" s="51">
        <f>IF(+F36=F35,0,(+F36-F35)*HOOFDDOCUMENT!$F$4)</f>
        <v>0</v>
      </c>
      <c r="H36" s="65">
        <f t="shared" si="16"/>
        <v>0.12</v>
      </c>
      <c r="I36" s="52">
        <f>(HOOFDDOCUMENT!$B$19-HOOFDDOCUMENT!$B$20)*4.3452</f>
        <v>1946.6496000000002</v>
      </c>
      <c r="J36" s="51">
        <f t="shared" si="11"/>
        <v>233.59795200000002</v>
      </c>
      <c r="K36" s="39">
        <f t="shared" si="7"/>
        <v>0</v>
      </c>
      <c r="L36" s="51">
        <f>IF(+K36=K35,0,(+K36-K35)*HOOFDDOCUMENT!$F$25)</f>
        <v>0</v>
      </c>
      <c r="M36" s="51">
        <v>0</v>
      </c>
      <c r="N36" s="52">
        <f>((HOOFDDOCUMENT!$B$45-HOOFDDOCUMENT!$B$46)*(HOOFDDOCUMENT!$B$6*HOOFDDOCUMENT!$B$7))*4.3452</f>
        <v>0</v>
      </c>
      <c r="O36" s="51">
        <f t="shared" si="12"/>
        <v>0</v>
      </c>
      <c r="P36" s="51">
        <f t="shared" si="17"/>
        <v>233.59795200000002</v>
      </c>
      <c r="Q36" s="53">
        <f t="shared" si="18"/>
        <v>-3782.0102399999996</v>
      </c>
      <c r="R36">
        <f t="shared" si="13"/>
        <v>0</v>
      </c>
      <c r="S36">
        <f t="shared" si="19"/>
        <v>0</v>
      </c>
      <c r="T36" t="str">
        <f t="shared" si="8"/>
        <v>5-IEME MOIS</v>
      </c>
    </row>
    <row r="37" spans="1:20" ht="14.25">
      <c r="A37" s="49" t="s">
        <v>71</v>
      </c>
      <c r="B37" s="59">
        <f t="shared" si="14"/>
        <v>0.041379310344827586</v>
      </c>
      <c r="C37" s="40">
        <f t="shared" si="9"/>
        <v>0</v>
      </c>
      <c r="D37" s="51">
        <f>IF(+C37=C36,0,(+C37-C36)*HOOFDDOCUMENT!$F$6)</f>
        <v>0</v>
      </c>
      <c r="E37" s="59">
        <f t="shared" si="15"/>
        <v>0.20689655172413796</v>
      </c>
      <c r="F37" s="37">
        <f t="shared" si="10"/>
        <v>0</v>
      </c>
      <c r="G37" s="51">
        <f>IF(+F37=F36,0,(+F37-F36)*HOOFDDOCUMENT!$F$4)</f>
        <v>0</v>
      </c>
      <c r="H37" s="65">
        <f t="shared" si="16"/>
        <v>0.12</v>
      </c>
      <c r="I37" s="52">
        <f>(HOOFDDOCUMENT!$B$19-HOOFDDOCUMENT!$B$20)*4.3452</f>
        <v>1946.6496000000002</v>
      </c>
      <c r="J37" s="51">
        <f t="shared" si="11"/>
        <v>233.59795200000002</v>
      </c>
      <c r="K37" s="39">
        <f t="shared" si="7"/>
        <v>0</v>
      </c>
      <c r="L37" s="51">
        <f>IF(+K37=K36,0,(+K37-K36)*HOOFDDOCUMENT!$F$25)</f>
        <v>0</v>
      </c>
      <c r="M37" s="51">
        <v>0</v>
      </c>
      <c r="N37" s="52">
        <f>((HOOFDDOCUMENT!$B$45-HOOFDDOCUMENT!$B$46)*(HOOFDDOCUMENT!$B$6*HOOFDDOCUMENT!$B$7))*4.3452</f>
        <v>0</v>
      </c>
      <c r="O37" s="51">
        <f t="shared" si="12"/>
        <v>0</v>
      </c>
      <c r="P37" s="51">
        <f t="shared" si="17"/>
        <v>233.59795200000002</v>
      </c>
      <c r="Q37" s="53">
        <f t="shared" si="18"/>
        <v>-3548.4122879999995</v>
      </c>
      <c r="R37">
        <f t="shared" si="13"/>
        <v>0</v>
      </c>
      <c r="S37">
        <f t="shared" si="19"/>
        <v>0</v>
      </c>
      <c r="T37" t="str">
        <f t="shared" si="8"/>
        <v>6-IEME MOIS</v>
      </c>
    </row>
    <row r="38" spans="1:20" ht="14.25">
      <c r="A38" s="49" t="s">
        <v>72</v>
      </c>
      <c r="B38" s="59">
        <f t="shared" si="14"/>
        <v>0.04827586206896552</v>
      </c>
      <c r="C38" s="40">
        <f t="shared" si="9"/>
        <v>0</v>
      </c>
      <c r="D38" s="51">
        <f>IF(+C38=C37,0,(+C38-C37)*HOOFDDOCUMENT!$F$6)</f>
        <v>0</v>
      </c>
      <c r="E38" s="59">
        <f t="shared" si="15"/>
        <v>0.24137931034482762</v>
      </c>
      <c r="F38" s="37">
        <f t="shared" si="10"/>
        <v>0</v>
      </c>
      <c r="G38" s="51">
        <f>IF(+F38=F37,0,(+F38-F37)*HOOFDDOCUMENT!$F$4)</f>
        <v>0</v>
      </c>
      <c r="H38" s="65">
        <f t="shared" si="16"/>
        <v>0.12</v>
      </c>
      <c r="I38" s="52">
        <f>(HOOFDDOCUMENT!$B$19-HOOFDDOCUMENT!$B$20)*4.3452</f>
        <v>1946.6496000000002</v>
      </c>
      <c r="J38" s="51">
        <f t="shared" si="11"/>
        <v>233.59795200000002</v>
      </c>
      <c r="K38" s="39">
        <f t="shared" si="7"/>
        <v>0</v>
      </c>
      <c r="L38" s="51">
        <f>IF(+K38=K37,0,(+K38-K37)*HOOFDDOCUMENT!$F$25)</f>
        <v>0</v>
      </c>
      <c r="M38" s="51">
        <v>0</v>
      </c>
      <c r="N38" s="52">
        <f>((HOOFDDOCUMENT!$B$45-HOOFDDOCUMENT!$B$46)*(HOOFDDOCUMENT!$B$6*HOOFDDOCUMENT!$B$7))*4.3452</f>
        <v>0</v>
      </c>
      <c r="O38" s="51">
        <f t="shared" si="12"/>
        <v>0</v>
      </c>
      <c r="P38" s="51">
        <f t="shared" si="17"/>
        <v>233.59795200000002</v>
      </c>
      <c r="Q38" s="53">
        <f t="shared" si="18"/>
        <v>-3314.8143359999995</v>
      </c>
      <c r="R38">
        <f t="shared" si="13"/>
        <v>0</v>
      </c>
      <c r="S38">
        <f t="shared" si="19"/>
        <v>0</v>
      </c>
      <c r="T38" t="str">
        <f t="shared" si="8"/>
        <v>7-IEME MOIS</v>
      </c>
    </row>
    <row r="39" spans="1:20" ht="14.25">
      <c r="A39" s="49" t="s">
        <v>73</v>
      </c>
      <c r="B39" s="59">
        <f t="shared" si="14"/>
        <v>0.05517241379310345</v>
      </c>
      <c r="C39" s="40">
        <f t="shared" si="9"/>
        <v>0</v>
      </c>
      <c r="D39" s="51">
        <f>IF(+C39=C38,0,(+C39-C38)*HOOFDDOCUMENT!$F$6)</f>
        <v>0</v>
      </c>
      <c r="E39" s="59">
        <f t="shared" si="15"/>
        <v>0.2758620689655173</v>
      </c>
      <c r="F39" s="37">
        <f t="shared" si="10"/>
        <v>0</v>
      </c>
      <c r="G39" s="51">
        <f>IF(+F39=F38,0,(+F39-F38)*HOOFDDOCUMENT!$F$4)</f>
        <v>0</v>
      </c>
      <c r="H39" s="65">
        <f t="shared" si="16"/>
        <v>0.12</v>
      </c>
      <c r="I39" s="52">
        <f>(HOOFDDOCUMENT!$B$19-HOOFDDOCUMENT!$B$20)*4.3452</f>
        <v>1946.6496000000002</v>
      </c>
      <c r="J39" s="51">
        <f t="shared" si="11"/>
        <v>233.59795200000002</v>
      </c>
      <c r="K39" s="39">
        <f t="shared" si="7"/>
        <v>0</v>
      </c>
      <c r="L39" s="51">
        <f>IF(+K39=K38,0,(+K39-K38)*HOOFDDOCUMENT!$F$25)</f>
        <v>0</v>
      </c>
      <c r="M39" s="51">
        <v>0</v>
      </c>
      <c r="N39" s="52">
        <f>((HOOFDDOCUMENT!$B$45-HOOFDDOCUMENT!$B$46)*(HOOFDDOCUMENT!$B$6*HOOFDDOCUMENT!$B$7))*4.3452</f>
        <v>0</v>
      </c>
      <c r="O39" s="51">
        <f t="shared" si="12"/>
        <v>0</v>
      </c>
      <c r="P39" s="51">
        <f t="shared" si="17"/>
        <v>233.59795200000002</v>
      </c>
      <c r="Q39" s="53">
        <f t="shared" si="18"/>
        <v>-3081.2163839999994</v>
      </c>
      <c r="R39">
        <f t="shared" si="13"/>
        <v>0</v>
      </c>
      <c r="S39">
        <f t="shared" si="19"/>
        <v>0</v>
      </c>
      <c r="T39" t="str">
        <f t="shared" si="8"/>
        <v>8-IEME MOIS</v>
      </c>
    </row>
    <row r="40" spans="1:20" ht="14.25">
      <c r="A40" s="49" t="s">
        <v>74</v>
      </c>
      <c r="B40" s="59">
        <f t="shared" si="14"/>
        <v>0.06206896551724138</v>
      </c>
      <c r="C40" s="40">
        <f t="shared" si="9"/>
        <v>0</v>
      </c>
      <c r="D40" s="51">
        <f>IF(+C40=C39,0,(+C40-C39)*HOOFDDOCUMENT!$F$6)</f>
        <v>0</v>
      </c>
      <c r="E40" s="59">
        <f t="shared" si="15"/>
        <v>0.31034482758620696</v>
      </c>
      <c r="F40" s="37">
        <f t="shared" si="10"/>
        <v>0</v>
      </c>
      <c r="G40" s="51">
        <f>IF(+F40=F39,0,(+F40-F39)*HOOFDDOCUMENT!$F$4)</f>
        <v>0</v>
      </c>
      <c r="H40" s="65">
        <f t="shared" si="16"/>
        <v>0.12</v>
      </c>
      <c r="I40" s="52">
        <f>(HOOFDDOCUMENT!$B$19-HOOFDDOCUMENT!$B$20)*4.3452</f>
        <v>1946.6496000000002</v>
      </c>
      <c r="J40" s="51">
        <f t="shared" si="11"/>
        <v>233.59795200000002</v>
      </c>
      <c r="K40" s="39">
        <f t="shared" si="7"/>
        <v>0</v>
      </c>
      <c r="L40" s="51">
        <f>IF(+K40=K39,0,(+K40-K39)*HOOFDDOCUMENT!$F$25)</f>
        <v>0</v>
      </c>
      <c r="M40" s="51">
        <v>0</v>
      </c>
      <c r="N40" s="52">
        <f>((HOOFDDOCUMENT!$B$45-HOOFDDOCUMENT!$B$46)*(HOOFDDOCUMENT!$B$6*HOOFDDOCUMENT!$B$7))*4.3452</f>
        <v>0</v>
      </c>
      <c r="O40" s="51">
        <f t="shared" si="12"/>
        <v>0</v>
      </c>
      <c r="P40" s="51">
        <f t="shared" si="17"/>
        <v>233.59795200000002</v>
      </c>
      <c r="Q40" s="53">
        <f t="shared" si="18"/>
        <v>-2847.6184319999993</v>
      </c>
      <c r="R40">
        <f t="shared" si="13"/>
        <v>0</v>
      </c>
      <c r="S40">
        <f t="shared" si="19"/>
        <v>0</v>
      </c>
      <c r="T40" t="str">
        <f t="shared" si="8"/>
        <v>9-IEME MOIS</v>
      </c>
    </row>
    <row r="41" spans="1:20" ht="14.25">
      <c r="A41" s="49" t="s">
        <v>75</v>
      </c>
      <c r="B41" s="59">
        <f t="shared" si="14"/>
        <v>0.06896551724137931</v>
      </c>
      <c r="C41" s="40">
        <f t="shared" si="9"/>
        <v>0</v>
      </c>
      <c r="D41" s="51">
        <f>IF(+C41=C40,0,(+C41-C40)*HOOFDDOCUMENT!$F$6)</f>
        <v>0</v>
      </c>
      <c r="E41" s="59">
        <f t="shared" si="15"/>
        <v>0.34482758620689663</v>
      </c>
      <c r="F41" s="37">
        <f t="shared" si="10"/>
        <v>0</v>
      </c>
      <c r="G41" s="51">
        <f>IF(+F41=F40,0,(+F41-F40)*HOOFDDOCUMENT!$F$4)</f>
        <v>0</v>
      </c>
      <c r="H41" s="65">
        <f t="shared" si="16"/>
        <v>0.12</v>
      </c>
      <c r="I41" s="52">
        <f>(HOOFDDOCUMENT!$B$19-HOOFDDOCUMENT!$B$20)*4.3452</f>
        <v>1946.6496000000002</v>
      </c>
      <c r="J41" s="51">
        <f t="shared" si="11"/>
        <v>233.59795200000002</v>
      </c>
      <c r="K41" s="39">
        <f t="shared" si="7"/>
        <v>0</v>
      </c>
      <c r="L41" s="51">
        <f>IF(+K41=K40,0,(+K41-K40)*HOOFDDOCUMENT!$F$25)</f>
        <v>0</v>
      </c>
      <c r="M41" s="51">
        <v>0</v>
      </c>
      <c r="N41" s="52">
        <f>((HOOFDDOCUMENT!$B$45-HOOFDDOCUMENT!$B$46)*(HOOFDDOCUMENT!$B$6*HOOFDDOCUMENT!$B$7))*4.3452</f>
        <v>0</v>
      </c>
      <c r="O41" s="51">
        <f t="shared" si="12"/>
        <v>0</v>
      </c>
      <c r="P41" s="51">
        <f t="shared" si="17"/>
        <v>233.59795200000002</v>
      </c>
      <c r="Q41" s="53">
        <f t="shared" si="18"/>
        <v>-2614.020479999999</v>
      </c>
      <c r="R41">
        <f t="shared" si="13"/>
        <v>0</v>
      </c>
      <c r="S41">
        <f t="shared" si="19"/>
        <v>0</v>
      </c>
      <c r="T41" t="str">
        <f t="shared" si="8"/>
        <v>10-IEME MOIS</v>
      </c>
    </row>
    <row r="42" spans="1:20" ht="14.25">
      <c r="A42" s="49" t="s">
        <v>76</v>
      </c>
      <c r="B42" s="59">
        <f t="shared" si="14"/>
        <v>0.07586206896551724</v>
      </c>
      <c r="C42" s="40">
        <f t="shared" si="9"/>
        <v>0</v>
      </c>
      <c r="D42" s="51">
        <f>IF(+C42=C41,0,(+C42-C41)*HOOFDDOCUMENT!$F$6)</f>
        <v>0</v>
      </c>
      <c r="E42" s="59">
        <f t="shared" si="15"/>
        <v>0.3793103448275863</v>
      </c>
      <c r="F42" s="37">
        <f t="shared" si="10"/>
        <v>0</v>
      </c>
      <c r="G42" s="51">
        <f>IF(+F42=F41,0,(+F42-F41)*HOOFDDOCUMENT!$F$4)</f>
        <v>0</v>
      </c>
      <c r="H42" s="65">
        <f t="shared" si="16"/>
        <v>0.12</v>
      </c>
      <c r="I42" s="52">
        <f>(HOOFDDOCUMENT!$B$19-HOOFDDOCUMENT!$B$20)*4.3452</f>
        <v>1946.6496000000002</v>
      </c>
      <c r="J42" s="51">
        <f t="shared" si="11"/>
        <v>233.59795200000002</v>
      </c>
      <c r="K42" s="39">
        <f t="shared" si="7"/>
        <v>0</v>
      </c>
      <c r="L42" s="51">
        <f>IF(+K42=K41,0,(+K42-K41)*HOOFDDOCUMENT!$F$25)</f>
        <v>0</v>
      </c>
      <c r="M42" s="51">
        <v>0</v>
      </c>
      <c r="N42" s="52">
        <f>((HOOFDDOCUMENT!$B$45-HOOFDDOCUMENT!$B$46)*(HOOFDDOCUMENT!$B$6*HOOFDDOCUMENT!$B$7))*4.3452</f>
        <v>0</v>
      </c>
      <c r="O42" s="51">
        <f t="shared" si="12"/>
        <v>0</v>
      </c>
      <c r="P42" s="51">
        <f t="shared" si="17"/>
        <v>233.59795200000002</v>
      </c>
      <c r="Q42" s="53">
        <f t="shared" si="18"/>
        <v>-2380.422527999999</v>
      </c>
      <c r="R42">
        <f t="shared" si="13"/>
        <v>0</v>
      </c>
      <c r="S42">
        <f t="shared" si="19"/>
        <v>0</v>
      </c>
      <c r="T42" t="str">
        <f t="shared" si="8"/>
        <v>11-IEME MOIS</v>
      </c>
    </row>
    <row r="43" spans="1:20" ht="14.25">
      <c r="A43" s="49" t="s">
        <v>77</v>
      </c>
      <c r="B43" s="59">
        <f t="shared" si="14"/>
        <v>0.08275862068965517</v>
      </c>
      <c r="C43" s="40">
        <f t="shared" si="9"/>
        <v>0</v>
      </c>
      <c r="D43" s="51">
        <f>IF(+C43=C42,0,(+C43-C42)*HOOFDDOCUMENT!$F$6)</f>
        <v>0</v>
      </c>
      <c r="E43" s="59">
        <f t="shared" si="15"/>
        <v>0.41379310344827597</v>
      </c>
      <c r="F43" s="37">
        <f t="shared" si="10"/>
        <v>0</v>
      </c>
      <c r="G43" s="51">
        <f>IF(+F43=F42,0,(+F43-F42)*HOOFDDOCUMENT!$F$4)</f>
        <v>0</v>
      </c>
      <c r="H43" s="65">
        <f t="shared" si="16"/>
        <v>0.12</v>
      </c>
      <c r="I43" s="52">
        <f>(HOOFDDOCUMENT!$B$19-HOOFDDOCUMENT!$B$20)*4.3452</f>
        <v>1946.6496000000002</v>
      </c>
      <c r="J43" s="51">
        <f t="shared" si="11"/>
        <v>233.59795200000002</v>
      </c>
      <c r="K43" s="39">
        <f t="shared" si="7"/>
        <v>0</v>
      </c>
      <c r="L43" s="51">
        <f>IF(+K43=K42,0,(+K43-K42)*HOOFDDOCUMENT!$F$25)</f>
        <v>0</v>
      </c>
      <c r="M43" s="51">
        <v>0</v>
      </c>
      <c r="N43" s="52">
        <f>((HOOFDDOCUMENT!$B$45-HOOFDDOCUMENT!$B$46)*(HOOFDDOCUMENT!$B$6*HOOFDDOCUMENT!$B$7))*4.3452</f>
        <v>0</v>
      </c>
      <c r="O43" s="51">
        <f t="shared" si="12"/>
        <v>0</v>
      </c>
      <c r="P43" s="51">
        <f t="shared" si="17"/>
        <v>233.59795200000002</v>
      </c>
      <c r="Q43" s="53">
        <f t="shared" si="18"/>
        <v>-2146.824575999999</v>
      </c>
      <c r="R43">
        <f t="shared" si="13"/>
        <v>0</v>
      </c>
      <c r="S43">
        <f t="shared" si="19"/>
        <v>0</v>
      </c>
      <c r="T43" t="str">
        <f t="shared" si="8"/>
        <v>12-IEME MOIS</v>
      </c>
    </row>
    <row r="44" spans="1:20" ht="14.25">
      <c r="A44" s="49" t="s">
        <v>78</v>
      </c>
      <c r="B44" s="59">
        <f t="shared" si="14"/>
        <v>0.0896551724137931</v>
      </c>
      <c r="C44" s="40">
        <f t="shared" si="9"/>
        <v>0</v>
      </c>
      <c r="D44" s="51">
        <f>IF(+C44=C43,0,(+C44-C43)*HOOFDDOCUMENT!$F$6)</f>
        <v>0</v>
      </c>
      <c r="E44" s="59">
        <f t="shared" si="15"/>
        <v>0.44827586206896564</v>
      </c>
      <c r="F44" s="37">
        <f t="shared" si="10"/>
        <v>0</v>
      </c>
      <c r="G44" s="51">
        <f>IF(+F44=F43,0,(+F44-F43)*HOOFDDOCUMENT!$F$4)</f>
        <v>0</v>
      </c>
      <c r="H44" s="65">
        <f>H43*(1+(HOOFDDOCUMENT!$B$16/100))</f>
        <v>0.126</v>
      </c>
      <c r="I44" s="52">
        <f>(HOOFDDOCUMENT!$B$19-HOOFDDOCUMENT!$B$20)*4.3452</f>
        <v>1946.6496000000002</v>
      </c>
      <c r="J44" s="51">
        <f t="shared" si="11"/>
        <v>245.27784960000002</v>
      </c>
      <c r="K44" s="39">
        <f t="shared" si="7"/>
        <v>0</v>
      </c>
      <c r="L44" s="51">
        <f>IF(+K44=K43,0,(+K44-K43)*HOOFDDOCUMENT!$F$25)</f>
        <v>0</v>
      </c>
      <c r="M44" s="51">
        <v>0</v>
      </c>
      <c r="N44" s="52">
        <f>((HOOFDDOCUMENT!$B$45-HOOFDDOCUMENT!$B$46)*(HOOFDDOCUMENT!$B$6*HOOFDDOCUMENT!$B$7))*4.3452</f>
        <v>0</v>
      </c>
      <c r="O44" s="51">
        <f t="shared" si="12"/>
        <v>0</v>
      </c>
      <c r="P44" s="51">
        <f t="shared" si="17"/>
        <v>245.27784960000002</v>
      </c>
      <c r="Q44" s="53">
        <f t="shared" si="18"/>
        <v>-1901.546726399999</v>
      </c>
      <c r="R44">
        <f t="shared" si="13"/>
        <v>0</v>
      </c>
      <c r="S44">
        <f t="shared" si="19"/>
        <v>0</v>
      </c>
      <c r="T44" t="str">
        <f t="shared" si="8"/>
        <v>13-IEME MOIS</v>
      </c>
    </row>
    <row r="45" spans="1:20" ht="14.25">
      <c r="A45" s="49" t="s">
        <v>79</v>
      </c>
      <c r="B45" s="59">
        <f t="shared" si="14"/>
        <v>0.09655172413793103</v>
      </c>
      <c r="C45" s="40">
        <f t="shared" si="9"/>
        <v>0</v>
      </c>
      <c r="D45" s="51">
        <f>IF(+C45=C44,0,(+C45-C44)*HOOFDDOCUMENT!$F$6)</f>
        <v>0</v>
      </c>
      <c r="E45" s="59">
        <f t="shared" si="15"/>
        <v>0.4827586206896553</v>
      </c>
      <c r="F45" s="37">
        <f t="shared" si="10"/>
        <v>0</v>
      </c>
      <c r="G45" s="51">
        <f>IF(+F45=F44,0,(+F45-F44)*HOOFDDOCUMENT!$F$4)</f>
        <v>0</v>
      </c>
      <c r="H45" s="65">
        <f>$H$44</f>
        <v>0.126</v>
      </c>
      <c r="I45" s="52">
        <f>(HOOFDDOCUMENT!$B$19-HOOFDDOCUMENT!$B$20)*4.3452</f>
        <v>1946.6496000000002</v>
      </c>
      <c r="J45" s="51">
        <f t="shared" si="11"/>
        <v>245.27784960000002</v>
      </c>
      <c r="K45" s="39">
        <f t="shared" si="7"/>
        <v>0</v>
      </c>
      <c r="L45" s="51">
        <f>IF(+K45=K44,0,(+K45-K44)*HOOFDDOCUMENT!$F$25)</f>
        <v>0</v>
      </c>
      <c r="M45" s="51">
        <v>0</v>
      </c>
      <c r="N45" s="52">
        <f>((HOOFDDOCUMENT!$B$45-HOOFDDOCUMENT!$B$46)*(HOOFDDOCUMENT!$B$6*HOOFDDOCUMENT!$B$7))*4.3452</f>
        <v>0</v>
      </c>
      <c r="O45" s="51">
        <f t="shared" si="12"/>
        <v>0</v>
      </c>
      <c r="P45" s="51">
        <f t="shared" si="17"/>
        <v>245.27784960000002</v>
      </c>
      <c r="Q45" s="53">
        <f t="shared" si="18"/>
        <v>-1656.268876799999</v>
      </c>
      <c r="R45">
        <f t="shared" si="13"/>
        <v>0</v>
      </c>
      <c r="S45">
        <f t="shared" si="19"/>
        <v>0</v>
      </c>
      <c r="T45" t="str">
        <f t="shared" si="8"/>
        <v>14-IEME MOIS</v>
      </c>
    </row>
    <row r="46" spans="1:20" ht="14.25">
      <c r="A46" s="49" t="s">
        <v>80</v>
      </c>
      <c r="B46" s="59">
        <f t="shared" si="14"/>
        <v>0.10344827586206896</v>
      </c>
      <c r="C46" s="40">
        <f t="shared" si="9"/>
        <v>0</v>
      </c>
      <c r="D46" s="51">
        <f>IF(+C46=C45,0,(+C46-C45)*HOOFDDOCUMENT!$F$6)</f>
        <v>0</v>
      </c>
      <c r="E46" s="59">
        <f t="shared" si="15"/>
        <v>0.517241379310345</v>
      </c>
      <c r="F46" s="37">
        <f t="shared" si="10"/>
        <v>0</v>
      </c>
      <c r="G46" s="51">
        <f>IF(+F46=F45,0,(+F46-F45)*HOOFDDOCUMENT!$F$4)</f>
        <v>0</v>
      </c>
      <c r="H46" s="65">
        <f aca="true" t="shared" si="20" ref="H46:H55">$H$44</f>
        <v>0.126</v>
      </c>
      <c r="I46" s="52">
        <f>(HOOFDDOCUMENT!$B$19-HOOFDDOCUMENT!$B$20)*4.3452</f>
        <v>1946.6496000000002</v>
      </c>
      <c r="J46" s="51">
        <f t="shared" si="11"/>
        <v>245.27784960000002</v>
      </c>
      <c r="K46" s="39">
        <f t="shared" si="7"/>
        <v>0</v>
      </c>
      <c r="L46" s="51">
        <f>IF(+K46=K45,0,(+K46-K45)*HOOFDDOCUMENT!$F$25)</f>
        <v>0</v>
      </c>
      <c r="M46" s="51">
        <v>0</v>
      </c>
      <c r="N46" s="52">
        <f>((HOOFDDOCUMENT!$B$45-HOOFDDOCUMENT!$B$46)*(HOOFDDOCUMENT!$B$6*HOOFDDOCUMENT!$B$7))*4.3452</f>
        <v>0</v>
      </c>
      <c r="O46" s="51">
        <f t="shared" si="12"/>
        <v>0</v>
      </c>
      <c r="P46" s="51">
        <f t="shared" si="17"/>
        <v>245.27784960000002</v>
      </c>
      <c r="Q46" s="53">
        <f t="shared" si="18"/>
        <v>-1410.9910271999988</v>
      </c>
      <c r="R46">
        <f t="shared" si="13"/>
        <v>0</v>
      </c>
      <c r="S46">
        <f t="shared" si="19"/>
        <v>0</v>
      </c>
      <c r="T46" t="str">
        <f t="shared" si="8"/>
        <v>15-IEME MOIS</v>
      </c>
    </row>
    <row r="47" spans="1:20" ht="14.25">
      <c r="A47" s="49" t="s">
        <v>81</v>
      </c>
      <c r="B47" s="59">
        <f t="shared" si="14"/>
        <v>0.1103448275862069</v>
      </c>
      <c r="C47" s="40">
        <f t="shared" si="9"/>
        <v>0</v>
      </c>
      <c r="D47" s="51">
        <f>IF(+C47=C46,0,(+C47-C46)*HOOFDDOCUMENT!$F$6)</f>
        <v>0</v>
      </c>
      <c r="E47" s="59">
        <f t="shared" si="15"/>
        <v>0.5517241379310346</v>
      </c>
      <c r="F47" s="37">
        <f t="shared" si="10"/>
        <v>0</v>
      </c>
      <c r="G47" s="51">
        <f>IF(+F47=F46,0,(+F47-F46)*HOOFDDOCUMENT!$F$4)</f>
        <v>0</v>
      </c>
      <c r="H47" s="65">
        <f t="shared" si="20"/>
        <v>0.126</v>
      </c>
      <c r="I47" s="52">
        <f>(HOOFDDOCUMENT!$B$19-HOOFDDOCUMENT!$B$20)*4.3452</f>
        <v>1946.6496000000002</v>
      </c>
      <c r="J47" s="51">
        <f t="shared" si="11"/>
        <v>245.27784960000002</v>
      </c>
      <c r="K47" s="39">
        <f t="shared" si="7"/>
        <v>0</v>
      </c>
      <c r="L47" s="51">
        <f>IF(+K47=K46,0,(+K47-K46)*HOOFDDOCUMENT!$F$25)</f>
        <v>0</v>
      </c>
      <c r="M47" s="51">
        <v>0</v>
      </c>
      <c r="N47" s="52">
        <f>((HOOFDDOCUMENT!$B$45-HOOFDDOCUMENT!$B$46)*(HOOFDDOCUMENT!$B$6*HOOFDDOCUMENT!$B$7))*4.3452</f>
        <v>0</v>
      </c>
      <c r="O47" s="51">
        <f t="shared" si="12"/>
        <v>0</v>
      </c>
      <c r="P47" s="51">
        <f t="shared" si="17"/>
        <v>245.27784960000002</v>
      </c>
      <c r="Q47" s="53">
        <f t="shared" si="18"/>
        <v>-1165.7131775999987</v>
      </c>
      <c r="R47">
        <f t="shared" si="13"/>
        <v>0</v>
      </c>
      <c r="S47">
        <f t="shared" si="19"/>
        <v>0</v>
      </c>
      <c r="T47" t="str">
        <f t="shared" si="8"/>
        <v>16-IEME MOIS</v>
      </c>
    </row>
    <row r="48" spans="1:20" ht="14.25">
      <c r="A48" s="49" t="s">
        <v>83</v>
      </c>
      <c r="B48" s="59">
        <f t="shared" si="14"/>
        <v>0.11724137931034483</v>
      </c>
      <c r="C48" s="40">
        <f t="shared" si="9"/>
        <v>0</v>
      </c>
      <c r="D48" s="51">
        <f>IF(+C48=C47,0,(+C48-C47)*HOOFDDOCUMENT!$F$6)</f>
        <v>0</v>
      </c>
      <c r="E48" s="59">
        <f t="shared" si="15"/>
        <v>0.5862068965517242</v>
      </c>
      <c r="F48" s="37">
        <f t="shared" si="10"/>
        <v>0</v>
      </c>
      <c r="G48" s="51">
        <f>IF(+F48=F47,0,(+F48-F47)*HOOFDDOCUMENT!$F$4)</f>
        <v>0</v>
      </c>
      <c r="H48" s="65">
        <f t="shared" si="20"/>
        <v>0.126</v>
      </c>
      <c r="I48" s="52">
        <f>(HOOFDDOCUMENT!$B$19-HOOFDDOCUMENT!$B$20)*4.3452</f>
        <v>1946.6496000000002</v>
      </c>
      <c r="J48" s="51">
        <f t="shared" si="11"/>
        <v>245.27784960000002</v>
      </c>
      <c r="K48" s="39">
        <f t="shared" si="7"/>
        <v>0</v>
      </c>
      <c r="L48" s="51">
        <f>IF(+K48=K47,0,(+K48-K47)*HOOFDDOCUMENT!$F$25)</f>
        <v>0</v>
      </c>
      <c r="M48" s="51">
        <v>0</v>
      </c>
      <c r="N48" s="52">
        <f>((HOOFDDOCUMENT!$B$45-HOOFDDOCUMENT!$B$46)*(HOOFDDOCUMENT!$B$6*HOOFDDOCUMENT!$B$7))*4.3452</f>
        <v>0</v>
      </c>
      <c r="O48" s="51">
        <f t="shared" si="12"/>
        <v>0</v>
      </c>
      <c r="P48" s="51">
        <f t="shared" si="17"/>
        <v>245.27784960000002</v>
      </c>
      <c r="Q48" s="53">
        <f t="shared" si="18"/>
        <v>-920.4353279999987</v>
      </c>
      <c r="R48">
        <f t="shared" si="13"/>
        <v>0</v>
      </c>
      <c r="S48">
        <f t="shared" si="19"/>
        <v>0</v>
      </c>
      <c r="T48" t="str">
        <f t="shared" si="8"/>
        <v>17-IEME MOIS</v>
      </c>
    </row>
    <row r="49" spans="1:20" ht="14.25">
      <c r="A49" s="49" t="s">
        <v>82</v>
      </c>
      <c r="B49" s="59">
        <f t="shared" si="14"/>
        <v>0.12413793103448276</v>
      </c>
      <c r="C49" s="40">
        <f t="shared" si="9"/>
        <v>0</v>
      </c>
      <c r="D49" s="51">
        <f>IF(+C49=C48,0,(+C49-C48)*HOOFDDOCUMENT!$F$6)</f>
        <v>0</v>
      </c>
      <c r="E49" s="59">
        <f t="shared" si="15"/>
        <v>0.6206896551724138</v>
      </c>
      <c r="F49" s="37">
        <f t="shared" si="10"/>
        <v>0</v>
      </c>
      <c r="G49" s="51">
        <f>IF(+F49=F48,0,(+F49-F48)*HOOFDDOCUMENT!$F$4)</f>
        <v>0</v>
      </c>
      <c r="H49" s="65">
        <f t="shared" si="20"/>
        <v>0.126</v>
      </c>
      <c r="I49" s="52">
        <f>(HOOFDDOCUMENT!$B$19-HOOFDDOCUMENT!$B$20)*4.3452</f>
        <v>1946.6496000000002</v>
      </c>
      <c r="J49" s="51">
        <f t="shared" si="11"/>
        <v>245.27784960000002</v>
      </c>
      <c r="K49" s="39">
        <f t="shared" si="7"/>
        <v>0</v>
      </c>
      <c r="L49" s="51">
        <f>IF(+K49=K48,0,(+K49-K48)*HOOFDDOCUMENT!$F$25)</f>
        <v>0</v>
      </c>
      <c r="M49" s="51">
        <v>0</v>
      </c>
      <c r="N49" s="52">
        <f>((HOOFDDOCUMENT!$B$45-HOOFDDOCUMENT!$B$46)*(HOOFDDOCUMENT!$B$6*HOOFDDOCUMENT!$B$7))*4.3452</f>
        <v>0</v>
      </c>
      <c r="O49" s="51">
        <f t="shared" si="12"/>
        <v>0</v>
      </c>
      <c r="P49" s="51">
        <f t="shared" si="17"/>
        <v>245.27784960000002</v>
      </c>
      <c r="Q49" s="53">
        <f t="shared" si="18"/>
        <v>-675.1574783999986</v>
      </c>
      <c r="R49">
        <f t="shared" si="13"/>
        <v>0</v>
      </c>
      <c r="S49">
        <f t="shared" si="19"/>
        <v>0</v>
      </c>
      <c r="T49" t="str">
        <f t="shared" si="8"/>
        <v>18-IEME MOIS</v>
      </c>
    </row>
    <row r="50" spans="1:20" ht="14.25">
      <c r="A50" s="49" t="s">
        <v>84</v>
      </c>
      <c r="B50" s="59">
        <f t="shared" si="14"/>
        <v>0.13103448275862067</v>
      </c>
      <c r="C50" s="40">
        <f t="shared" si="9"/>
        <v>0</v>
      </c>
      <c r="D50" s="51">
        <f>IF(+C50=C49,0,(+C50-C49)*HOOFDDOCUMENT!$F$6)</f>
        <v>0</v>
      </c>
      <c r="E50" s="59">
        <f t="shared" si="15"/>
        <v>0.6551724137931034</v>
      </c>
      <c r="F50" s="37">
        <f t="shared" si="10"/>
        <v>0</v>
      </c>
      <c r="G50" s="51">
        <f>IF(+F50=F49,0,(+F50-F49)*HOOFDDOCUMENT!$F$4)</f>
        <v>0</v>
      </c>
      <c r="H50" s="65">
        <f t="shared" si="20"/>
        <v>0.126</v>
      </c>
      <c r="I50" s="52">
        <f>(HOOFDDOCUMENT!$B$19-HOOFDDOCUMENT!$B$20)*4.3452</f>
        <v>1946.6496000000002</v>
      </c>
      <c r="J50" s="51">
        <f t="shared" si="11"/>
        <v>245.27784960000002</v>
      </c>
      <c r="K50" s="39">
        <f t="shared" si="7"/>
        <v>0</v>
      </c>
      <c r="L50" s="51">
        <f>IF(+K50=K49,0,(+K50-K49)*HOOFDDOCUMENT!$F$25)</f>
        <v>0</v>
      </c>
      <c r="M50" s="51">
        <v>0</v>
      </c>
      <c r="N50" s="52">
        <f>((HOOFDDOCUMENT!$B$45-HOOFDDOCUMENT!$B$46)*(HOOFDDOCUMENT!$B$6*HOOFDDOCUMENT!$B$7))*4.3452</f>
        <v>0</v>
      </c>
      <c r="O50" s="51">
        <f t="shared" si="12"/>
        <v>0</v>
      </c>
      <c r="P50" s="51">
        <f t="shared" si="17"/>
        <v>245.27784960000002</v>
      </c>
      <c r="Q50" s="53">
        <f t="shared" si="18"/>
        <v>-429.87962879999856</v>
      </c>
      <c r="R50">
        <f t="shared" si="13"/>
        <v>0</v>
      </c>
      <c r="S50">
        <f t="shared" si="19"/>
        <v>0</v>
      </c>
      <c r="T50" t="str">
        <f t="shared" si="8"/>
        <v>19-IEME MOIS</v>
      </c>
    </row>
    <row r="51" spans="1:20" ht="14.25">
      <c r="A51" s="49" t="s">
        <v>85</v>
      </c>
      <c r="B51" s="59">
        <f t="shared" si="14"/>
        <v>0.13793103448275862</v>
      </c>
      <c r="C51" s="40">
        <f t="shared" si="9"/>
        <v>0</v>
      </c>
      <c r="D51" s="51">
        <f>IF(+C51=C50,0,(+C51-C50)*HOOFDDOCUMENT!$F$6)</f>
        <v>0</v>
      </c>
      <c r="E51" s="59">
        <f t="shared" si="15"/>
        <v>0.689655172413793</v>
      </c>
      <c r="F51" s="37">
        <f t="shared" si="10"/>
        <v>0</v>
      </c>
      <c r="G51" s="51">
        <f>IF(+F51=F50,0,(+F51-F50)*HOOFDDOCUMENT!$F$4)</f>
        <v>0</v>
      </c>
      <c r="H51" s="65">
        <f t="shared" si="20"/>
        <v>0.126</v>
      </c>
      <c r="I51" s="52">
        <f>(HOOFDDOCUMENT!$B$19-HOOFDDOCUMENT!$B$20)*4.3452</f>
        <v>1946.6496000000002</v>
      </c>
      <c r="J51" s="51">
        <f t="shared" si="11"/>
        <v>245.27784960000002</v>
      </c>
      <c r="K51" s="39">
        <f t="shared" si="7"/>
        <v>0</v>
      </c>
      <c r="L51" s="51">
        <f>IF(+K51=K50,0,(+K51-K50)*HOOFDDOCUMENT!$F$25)</f>
        <v>0</v>
      </c>
      <c r="M51" s="51">
        <v>0</v>
      </c>
      <c r="N51" s="52">
        <f>((HOOFDDOCUMENT!$B$45-HOOFDDOCUMENT!$B$46)*(HOOFDDOCUMENT!$B$6*HOOFDDOCUMENT!$B$7))*4.3452</f>
        <v>0</v>
      </c>
      <c r="O51" s="51">
        <f t="shared" si="12"/>
        <v>0</v>
      </c>
      <c r="P51" s="51">
        <f t="shared" si="17"/>
        <v>245.27784960000002</v>
      </c>
      <c r="Q51" s="53">
        <f t="shared" si="18"/>
        <v>-184.60177919999853</v>
      </c>
      <c r="R51">
        <f t="shared" si="13"/>
        <v>0</v>
      </c>
      <c r="S51">
        <f t="shared" si="19"/>
        <v>0</v>
      </c>
      <c r="T51" t="str">
        <f t="shared" si="8"/>
        <v>20-IEME MOIS</v>
      </c>
    </row>
    <row r="52" spans="1:20" ht="14.25">
      <c r="A52" s="49" t="s">
        <v>86</v>
      </c>
      <c r="B52" s="59">
        <f t="shared" si="14"/>
        <v>0.14482758620689656</v>
      </c>
      <c r="C52" s="40">
        <f t="shared" si="9"/>
        <v>0</v>
      </c>
      <c r="D52" s="51">
        <f>IF(+C52=C51,0,(+C52-C51)*HOOFDDOCUMENT!$F$6)</f>
        <v>0</v>
      </c>
      <c r="E52" s="59">
        <f t="shared" si="15"/>
        <v>0.7241379310344827</v>
      </c>
      <c r="F52" s="37">
        <f t="shared" si="10"/>
        <v>0</v>
      </c>
      <c r="G52" s="51">
        <f>IF(+F52=F51,0,(+F52-F51)*HOOFDDOCUMENT!$F$4)</f>
        <v>0</v>
      </c>
      <c r="H52" s="65">
        <f t="shared" si="20"/>
        <v>0.126</v>
      </c>
      <c r="I52" s="52">
        <f>(HOOFDDOCUMENT!$B$19-HOOFDDOCUMENT!$B$20)*4.3452</f>
        <v>1946.6496000000002</v>
      </c>
      <c r="J52" s="51">
        <f t="shared" si="11"/>
        <v>245.27784960000002</v>
      </c>
      <c r="K52" s="39">
        <f aca="true" t="shared" si="21" ref="K52:K79">F52-C52</f>
        <v>0</v>
      </c>
      <c r="L52" s="51">
        <f>IF(+K52=K51,0,(+K52-K51)*HOOFDDOCUMENT!$F$25)</f>
        <v>0</v>
      </c>
      <c r="M52" s="51">
        <v>0</v>
      </c>
      <c r="N52" s="52">
        <f>((HOOFDDOCUMENT!$B$45-HOOFDDOCUMENT!$B$46)*(HOOFDDOCUMENT!$B$6*HOOFDDOCUMENT!$B$7))*4.3452</f>
        <v>0</v>
      </c>
      <c r="O52" s="51">
        <f t="shared" si="12"/>
        <v>0</v>
      </c>
      <c r="P52" s="51">
        <f t="shared" si="17"/>
        <v>245.27784960000002</v>
      </c>
      <c r="Q52" s="53">
        <f t="shared" si="18"/>
        <v>60.67607040000149</v>
      </c>
      <c r="R52">
        <f t="shared" si="13"/>
        <v>1</v>
      </c>
      <c r="S52" t="str">
        <f t="shared" si="19"/>
        <v>ROI</v>
      </c>
      <c r="T52" t="str">
        <f t="shared" si="8"/>
        <v>21-IEME MOIS</v>
      </c>
    </row>
    <row r="53" spans="1:20" ht="14.25">
      <c r="A53" s="49" t="s">
        <v>87</v>
      </c>
      <c r="B53" s="59">
        <f t="shared" si="14"/>
        <v>0.1517241379310345</v>
      </c>
      <c r="C53" s="40">
        <f t="shared" si="9"/>
        <v>0</v>
      </c>
      <c r="D53" s="51">
        <f>IF(+C53=C52,0,(+C53-C52)*HOOFDDOCUMENT!$F$6)</f>
        <v>0</v>
      </c>
      <c r="E53" s="59">
        <f t="shared" si="15"/>
        <v>0.7586206896551723</v>
      </c>
      <c r="F53" s="37">
        <f t="shared" si="10"/>
        <v>0</v>
      </c>
      <c r="G53" s="51">
        <f>IF(+F53=F52,0,(+F53-F52)*HOOFDDOCUMENT!$F$4)</f>
        <v>0</v>
      </c>
      <c r="H53" s="65">
        <f t="shared" si="20"/>
        <v>0.126</v>
      </c>
      <c r="I53" s="52">
        <f>(HOOFDDOCUMENT!$B$19-HOOFDDOCUMENT!$B$20)*4.3452</f>
        <v>1946.6496000000002</v>
      </c>
      <c r="J53" s="51">
        <f t="shared" si="11"/>
        <v>245.27784960000002</v>
      </c>
      <c r="K53" s="39">
        <f t="shared" si="21"/>
        <v>0</v>
      </c>
      <c r="L53" s="51">
        <f>IF(+K53=K52,0,(+K53-K52)*HOOFDDOCUMENT!$F$25)</f>
        <v>0</v>
      </c>
      <c r="M53" s="51">
        <v>0</v>
      </c>
      <c r="N53" s="52">
        <f>((HOOFDDOCUMENT!$B$45-HOOFDDOCUMENT!$B$46)*(HOOFDDOCUMENT!$B$6*HOOFDDOCUMENT!$B$7))*4.3452</f>
        <v>0</v>
      </c>
      <c r="O53" s="51">
        <f t="shared" si="12"/>
        <v>0</v>
      </c>
      <c r="P53" s="51">
        <f t="shared" si="17"/>
        <v>245.27784960000002</v>
      </c>
      <c r="Q53" s="53">
        <f t="shared" si="18"/>
        <v>305.9539200000015</v>
      </c>
      <c r="R53">
        <f t="shared" si="13"/>
        <v>1</v>
      </c>
      <c r="S53">
        <f t="shared" si="19"/>
        <v>0</v>
      </c>
      <c r="T53" t="str">
        <f t="shared" si="8"/>
        <v>22-IEME MOIS</v>
      </c>
    </row>
    <row r="54" spans="1:20" ht="14.25">
      <c r="A54" s="49" t="s">
        <v>88</v>
      </c>
      <c r="B54" s="59">
        <f t="shared" si="14"/>
        <v>0.15862068965517245</v>
      </c>
      <c r="C54" s="40">
        <f t="shared" si="9"/>
        <v>0</v>
      </c>
      <c r="D54" s="51">
        <f>IF(+C54=C53,0,(+C54-C53)*HOOFDDOCUMENT!$F$6)</f>
        <v>0</v>
      </c>
      <c r="E54" s="59">
        <f t="shared" si="15"/>
        <v>0.7931034482758619</v>
      </c>
      <c r="F54" s="37">
        <f t="shared" si="10"/>
        <v>0</v>
      </c>
      <c r="G54" s="51">
        <f>IF(+F54=F53,0,(+F54-F53)*HOOFDDOCUMENT!$F$4)</f>
        <v>0</v>
      </c>
      <c r="H54" s="65">
        <f t="shared" si="20"/>
        <v>0.126</v>
      </c>
      <c r="I54" s="52">
        <f>(HOOFDDOCUMENT!$B$19-HOOFDDOCUMENT!$B$20)*4.3452</f>
        <v>1946.6496000000002</v>
      </c>
      <c r="J54" s="51">
        <f t="shared" si="11"/>
        <v>245.27784960000002</v>
      </c>
      <c r="K54" s="39">
        <f t="shared" si="21"/>
        <v>0</v>
      </c>
      <c r="L54" s="51">
        <f>IF(+K54=K53,0,(+K54-K53)*HOOFDDOCUMENT!$F$25)</f>
        <v>0</v>
      </c>
      <c r="M54" s="51">
        <v>0</v>
      </c>
      <c r="N54" s="52">
        <f>((HOOFDDOCUMENT!$B$45-HOOFDDOCUMENT!$B$46)*(HOOFDDOCUMENT!$B$6*HOOFDDOCUMENT!$B$7))*4.3452</f>
        <v>0</v>
      </c>
      <c r="O54" s="51">
        <f t="shared" si="12"/>
        <v>0</v>
      </c>
      <c r="P54" s="51">
        <f t="shared" si="17"/>
        <v>245.27784960000002</v>
      </c>
      <c r="Q54" s="53">
        <f t="shared" si="18"/>
        <v>551.2317696000016</v>
      </c>
      <c r="R54">
        <f t="shared" si="13"/>
        <v>1</v>
      </c>
      <c r="S54">
        <f t="shared" si="19"/>
        <v>0</v>
      </c>
      <c r="T54" t="str">
        <f t="shared" si="8"/>
        <v>23-IEME MOIS</v>
      </c>
    </row>
    <row r="55" spans="1:20" ht="14.25">
      <c r="A55" s="49" t="s">
        <v>89</v>
      </c>
      <c r="B55" s="59">
        <f t="shared" si="14"/>
        <v>0.1655172413793104</v>
      </c>
      <c r="C55" s="40">
        <f t="shared" si="9"/>
        <v>0</v>
      </c>
      <c r="D55" s="51">
        <f>IF(+C55=C54,0,(+C55-C54)*HOOFDDOCUMENT!$F$6)</f>
        <v>0</v>
      </c>
      <c r="E55" s="59">
        <f t="shared" si="15"/>
        <v>0.8275862068965515</v>
      </c>
      <c r="F55" s="37">
        <f t="shared" si="10"/>
        <v>0</v>
      </c>
      <c r="G55" s="51">
        <f>IF(+F55=F54,0,(+F55-F54)*HOOFDDOCUMENT!$F$4)</f>
        <v>0</v>
      </c>
      <c r="H55" s="65">
        <f t="shared" si="20"/>
        <v>0.126</v>
      </c>
      <c r="I55" s="52">
        <f>(HOOFDDOCUMENT!$B$19-HOOFDDOCUMENT!$B$20)*4.3452</f>
        <v>1946.6496000000002</v>
      </c>
      <c r="J55" s="51">
        <f t="shared" si="11"/>
        <v>245.27784960000002</v>
      </c>
      <c r="K55" s="39">
        <f t="shared" si="21"/>
        <v>0</v>
      </c>
      <c r="L55" s="51">
        <f>IF(+K55=K54,0,(+K55-K54)*HOOFDDOCUMENT!$F$25)</f>
        <v>0</v>
      </c>
      <c r="M55" s="51">
        <v>0</v>
      </c>
      <c r="N55" s="52">
        <f>((HOOFDDOCUMENT!$B$45-HOOFDDOCUMENT!$B$46)*(HOOFDDOCUMENT!$B$6*HOOFDDOCUMENT!$B$7))*4.3452</f>
        <v>0</v>
      </c>
      <c r="O55" s="51">
        <f t="shared" si="12"/>
        <v>0</v>
      </c>
      <c r="P55" s="51">
        <f t="shared" si="17"/>
        <v>245.27784960000002</v>
      </c>
      <c r="Q55" s="53">
        <f t="shared" si="18"/>
        <v>796.5096192000017</v>
      </c>
      <c r="R55">
        <f t="shared" si="13"/>
        <v>1</v>
      </c>
      <c r="S55">
        <f t="shared" si="19"/>
        <v>0</v>
      </c>
      <c r="T55" t="str">
        <f t="shared" si="8"/>
        <v>24-IEME MOIS</v>
      </c>
    </row>
    <row r="56" spans="1:20" ht="14.25">
      <c r="A56" s="49" t="s">
        <v>90</v>
      </c>
      <c r="B56" s="59">
        <f t="shared" si="14"/>
        <v>0.17241379310344834</v>
      </c>
      <c r="C56" s="40">
        <f t="shared" si="9"/>
        <v>0</v>
      </c>
      <c r="D56" s="51">
        <f>IF(+C56=C55,0,(+C56-C55)*HOOFDDOCUMENT!$F$6)</f>
        <v>0</v>
      </c>
      <c r="E56" s="59">
        <f t="shared" si="15"/>
        <v>0.8620689655172411</v>
      </c>
      <c r="F56" s="37">
        <f t="shared" si="10"/>
        <v>0</v>
      </c>
      <c r="G56" s="51">
        <f>IF(+F56=F55,0,(+F56-F55)*HOOFDDOCUMENT!$F$4)</f>
        <v>0</v>
      </c>
      <c r="H56" s="65">
        <f>H55*(1+(HOOFDDOCUMENT!$B$16/100))</f>
        <v>0.1323</v>
      </c>
      <c r="I56" s="52">
        <f>(HOOFDDOCUMENT!$B$19-HOOFDDOCUMENT!$B$20)*4.3452</f>
        <v>1946.6496000000002</v>
      </c>
      <c r="J56" s="51">
        <f t="shared" si="11"/>
        <v>257.54174208</v>
      </c>
      <c r="K56" s="39">
        <f t="shared" si="21"/>
        <v>0</v>
      </c>
      <c r="L56" s="51">
        <f>IF(+K56=K55,0,(+K56-K55)*HOOFDDOCUMENT!$F$25)</f>
        <v>0</v>
      </c>
      <c r="M56" s="51">
        <v>0</v>
      </c>
      <c r="N56" s="52">
        <f>((HOOFDDOCUMENT!$B$45-HOOFDDOCUMENT!$B$46)*(HOOFDDOCUMENT!$B$6*HOOFDDOCUMENT!$B$7))*4.3452</f>
        <v>0</v>
      </c>
      <c r="O56" s="51">
        <f t="shared" si="12"/>
        <v>0</v>
      </c>
      <c r="P56" s="51">
        <f t="shared" si="17"/>
        <v>257.54174208</v>
      </c>
      <c r="Q56" s="53">
        <f t="shared" si="18"/>
        <v>1054.0513612800016</v>
      </c>
      <c r="R56">
        <f t="shared" si="13"/>
        <v>1</v>
      </c>
      <c r="S56">
        <f t="shared" si="19"/>
        <v>0</v>
      </c>
      <c r="T56" t="str">
        <f t="shared" si="8"/>
        <v>25-IEME MOIS</v>
      </c>
    </row>
    <row r="57" spans="1:20" ht="14.25">
      <c r="A57" s="49" t="s">
        <v>91</v>
      </c>
      <c r="B57" s="59">
        <f t="shared" si="14"/>
        <v>0.1793103448275863</v>
      </c>
      <c r="C57" s="40">
        <f t="shared" si="9"/>
        <v>0</v>
      </c>
      <c r="D57" s="51">
        <f>IF(+C57=C56,0,(+C57-C56)*HOOFDDOCUMENT!$F$6)</f>
        <v>0</v>
      </c>
      <c r="E57" s="59">
        <f t="shared" si="15"/>
        <v>0.8965517241379307</v>
      </c>
      <c r="F57" s="37">
        <f t="shared" si="10"/>
        <v>0</v>
      </c>
      <c r="G57" s="51">
        <f>IF(+F57=F56,0,(+F57-F56)*HOOFDDOCUMENT!$F$4)</f>
        <v>0</v>
      </c>
      <c r="H57" s="65">
        <f>$H$56</f>
        <v>0.1323</v>
      </c>
      <c r="I57" s="52">
        <f>(HOOFDDOCUMENT!$B$19-HOOFDDOCUMENT!$B$20)*4.3452</f>
        <v>1946.6496000000002</v>
      </c>
      <c r="J57" s="51">
        <f t="shared" si="11"/>
        <v>257.54174208</v>
      </c>
      <c r="K57" s="39">
        <f t="shared" si="21"/>
        <v>0</v>
      </c>
      <c r="L57" s="51">
        <f>IF(+K57=K56,0,(+K57-K56)*HOOFDDOCUMENT!$F$25)</f>
        <v>0</v>
      </c>
      <c r="M57" s="51">
        <v>0</v>
      </c>
      <c r="N57" s="52">
        <f>((HOOFDDOCUMENT!$B$45-HOOFDDOCUMENT!$B$46)*(HOOFDDOCUMENT!$B$6*HOOFDDOCUMENT!$B$7))*4.3452</f>
        <v>0</v>
      </c>
      <c r="O57" s="51">
        <f t="shared" si="12"/>
        <v>0</v>
      </c>
      <c r="P57" s="51">
        <f t="shared" si="17"/>
        <v>257.54174208</v>
      </c>
      <c r="Q57" s="53">
        <f t="shared" si="18"/>
        <v>1311.5931033600016</v>
      </c>
      <c r="R57">
        <f t="shared" si="13"/>
        <v>1</v>
      </c>
      <c r="S57">
        <f t="shared" si="19"/>
        <v>0</v>
      </c>
      <c r="T57" t="str">
        <f t="shared" si="8"/>
        <v>26-IEME MOIS</v>
      </c>
    </row>
    <row r="58" spans="1:20" ht="14.25">
      <c r="A58" s="49" t="s">
        <v>92</v>
      </c>
      <c r="B58" s="59">
        <f t="shared" si="14"/>
        <v>0.18620689655172423</v>
      </c>
      <c r="C58" s="40">
        <f t="shared" si="9"/>
        <v>0</v>
      </c>
      <c r="D58" s="51">
        <f>IF(+C58=C57,0,(+C58-C57)*HOOFDDOCUMENT!$F$6)</f>
        <v>0</v>
      </c>
      <c r="E58" s="59">
        <f t="shared" si="15"/>
        <v>0.9310344827586203</v>
      </c>
      <c r="F58" s="37">
        <f t="shared" si="10"/>
        <v>0</v>
      </c>
      <c r="G58" s="51">
        <f>IF(+F58=F57,0,(+F58-F57)*HOOFDDOCUMENT!$F$4)</f>
        <v>0</v>
      </c>
      <c r="H58" s="65">
        <f aca="true" t="shared" si="22" ref="H58:H67">$H$56</f>
        <v>0.1323</v>
      </c>
      <c r="I58" s="52">
        <f>(HOOFDDOCUMENT!$B$19-HOOFDDOCUMENT!$B$20)*4.3452</f>
        <v>1946.6496000000002</v>
      </c>
      <c r="J58" s="51">
        <f t="shared" si="11"/>
        <v>257.54174208</v>
      </c>
      <c r="K58" s="39">
        <f t="shared" si="21"/>
        <v>0</v>
      </c>
      <c r="L58" s="51">
        <f>IF(+K58=K57,0,(+K58-K57)*HOOFDDOCUMENT!$F$25)</f>
        <v>0</v>
      </c>
      <c r="M58" s="51">
        <v>0</v>
      </c>
      <c r="N58" s="52">
        <f>((HOOFDDOCUMENT!$B$45-HOOFDDOCUMENT!$B$46)*(HOOFDDOCUMENT!$B$6*HOOFDDOCUMENT!$B$7))*4.3452</f>
        <v>0</v>
      </c>
      <c r="O58" s="51">
        <f t="shared" si="12"/>
        <v>0</v>
      </c>
      <c r="P58" s="51">
        <f t="shared" si="17"/>
        <v>257.54174208</v>
      </c>
      <c r="Q58" s="53">
        <f t="shared" si="18"/>
        <v>1569.1348454400015</v>
      </c>
      <c r="R58">
        <f t="shared" si="13"/>
        <v>1</v>
      </c>
      <c r="S58">
        <f t="shared" si="19"/>
        <v>0</v>
      </c>
      <c r="T58" t="str">
        <f t="shared" si="8"/>
        <v>27-IEME MOIS</v>
      </c>
    </row>
    <row r="59" spans="1:20" ht="14.25">
      <c r="A59" s="49" t="s">
        <v>93</v>
      </c>
      <c r="B59" s="59">
        <f t="shared" si="14"/>
        <v>0.19310344827586218</v>
      </c>
      <c r="C59" s="40">
        <f t="shared" si="9"/>
        <v>0</v>
      </c>
      <c r="D59" s="51">
        <f>IF(+C59=C58,0,(+C59-C58)*HOOFDDOCUMENT!$F$6)</f>
        <v>0</v>
      </c>
      <c r="E59" s="59">
        <f t="shared" si="15"/>
        <v>0.9655172413793099</v>
      </c>
      <c r="F59" s="37">
        <f t="shared" si="10"/>
        <v>0</v>
      </c>
      <c r="G59" s="51">
        <f>IF(+F59=F58,0,(+F59-F58)*HOOFDDOCUMENT!$F$4)</f>
        <v>0</v>
      </c>
      <c r="H59" s="65">
        <f t="shared" si="22"/>
        <v>0.1323</v>
      </c>
      <c r="I59" s="52">
        <f>(HOOFDDOCUMENT!$B$19-HOOFDDOCUMENT!$B$20)*4.3452</f>
        <v>1946.6496000000002</v>
      </c>
      <c r="J59" s="51">
        <f t="shared" si="11"/>
        <v>257.54174208</v>
      </c>
      <c r="K59" s="39">
        <f t="shared" si="21"/>
        <v>0</v>
      </c>
      <c r="L59" s="51">
        <f>IF(+K59=K58,0,(+K59-K58)*HOOFDDOCUMENT!$F$25)</f>
        <v>0</v>
      </c>
      <c r="M59" s="51">
        <v>0</v>
      </c>
      <c r="N59" s="52">
        <f>((HOOFDDOCUMENT!$B$45-HOOFDDOCUMENT!$B$46)*(HOOFDDOCUMENT!$B$6*HOOFDDOCUMENT!$B$7))*4.3452</f>
        <v>0</v>
      </c>
      <c r="O59" s="51">
        <f t="shared" si="12"/>
        <v>0</v>
      </c>
      <c r="P59" s="51">
        <f t="shared" si="17"/>
        <v>257.54174208</v>
      </c>
      <c r="Q59" s="53">
        <f t="shared" si="18"/>
        <v>1826.6765875200015</v>
      </c>
      <c r="R59">
        <f t="shared" si="13"/>
        <v>1</v>
      </c>
      <c r="S59">
        <f t="shared" si="19"/>
        <v>0</v>
      </c>
      <c r="T59" t="str">
        <f t="shared" si="8"/>
        <v>28-IEME MOIS</v>
      </c>
    </row>
    <row r="60" spans="1:20" ht="14.25">
      <c r="A60" s="49" t="s">
        <v>94</v>
      </c>
      <c r="B60" s="59">
        <f t="shared" si="14"/>
        <v>0.20000000000000012</v>
      </c>
      <c r="C60" s="40">
        <f t="shared" si="9"/>
        <v>0</v>
      </c>
      <c r="D60" s="51">
        <f>IF(+C60=C59,0,(+C60-C59)*HOOFDDOCUMENT!$F$6)</f>
        <v>0</v>
      </c>
      <c r="E60" s="59">
        <f t="shared" si="15"/>
        <v>0.9999999999999996</v>
      </c>
      <c r="F60" s="37">
        <f t="shared" si="10"/>
        <v>1</v>
      </c>
      <c r="G60" s="51">
        <f>IF(+F60=F59,0,(+F60-F59)*HOOFDDOCUMENT!$F$4)</f>
        <v>400</v>
      </c>
      <c r="H60" s="65">
        <f t="shared" si="22"/>
        <v>0.1323</v>
      </c>
      <c r="I60" s="52">
        <f>(HOOFDDOCUMENT!$B$19-HOOFDDOCUMENT!$B$20)*4.3452</f>
        <v>1946.6496000000002</v>
      </c>
      <c r="J60" s="51">
        <f t="shared" si="11"/>
        <v>257.54174208</v>
      </c>
      <c r="K60" s="39">
        <f t="shared" si="21"/>
        <v>1</v>
      </c>
      <c r="L60" s="51">
        <f>IF(+K60=K59,0,(+K60-K59)*HOOFDDOCUMENT!$F$25)</f>
        <v>250</v>
      </c>
      <c r="M60" s="51">
        <v>0</v>
      </c>
      <c r="N60" s="52">
        <f>((HOOFDDOCUMENT!$B$45-HOOFDDOCUMENT!$B$46)*(HOOFDDOCUMENT!$B$6*HOOFDDOCUMENT!$B$7))*4.3452</f>
        <v>0</v>
      </c>
      <c r="O60" s="51">
        <f t="shared" si="12"/>
        <v>0</v>
      </c>
      <c r="P60" s="51">
        <f t="shared" si="17"/>
        <v>907.54174208</v>
      </c>
      <c r="Q60" s="53">
        <f t="shared" si="18"/>
        <v>2734.218329600001</v>
      </c>
      <c r="R60">
        <f t="shared" si="13"/>
        <v>1</v>
      </c>
      <c r="S60">
        <f t="shared" si="19"/>
        <v>0</v>
      </c>
      <c r="T60" t="str">
        <f t="shared" si="8"/>
        <v>29-IEME MOIS</v>
      </c>
    </row>
    <row r="61" spans="1:20" ht="14.25">
      <c r="A61" s="49" t="s">
        <v>95</v>
      </c>
      <c r="B61" s="59">
        <f t="shared" si="14"/>
        <v>0.20689655172413807</v>
      </c>
      <c r="C61" s="40">
        <f t="shared" si="9"/>
        <v>0</v>
      </c>
      <c r="D61" s="51">
        <f>IF(+C61=C60,0,(+C61-C60)*HOOFDDOCUMENT!$F$6)</f>
        <v>0</v>
      </c>
      <c r="E61" s="59">
        <f t="shared" si="15"/>
        <v>1.0344827586206893</v>
      </c>
      <c r="F61" s="37">
        <f t="shared" si="10"/>
        <v>1</v>
      </c>
      <c r="G61" s="51">
        <f>IF(+F61=F60,0,(+F61-F60)*HOOFDDOCUMENT!$F$4)</f>
        <v>0</v>
      </c>
      <c r="H61" s="65">
        <f t="shared" si="22"/>
        <v>0.1323</v>
      </c>
      <c r="I61" s="52">
        <f>(HOOFDDOCUMENT!$B$19-HOOFDDOCUMENT!$B$20)*4.3452</f>
        <v>1946.6496000000002</v>
      </c>
      <c r="J61" s="51">
        <f t="shared" si="11"/>
        <v>257.54174208</v>
      </c>
      <c r="K61" s="39">
        <f t="shared" si="21"/>
        <v>1</v>
      </c>
      <c r="L61" s="51">
        <f>IF(+K61=K60,0,(+K61-K60)*HOOFDDOCUMENT!$F$25)</f>
        <v>0</v>
      </c>
      <c r="M61" s="51">
        <v>0</v>
      </c>
      <c r="N61" s="52">
        <f>((HOOFDDOCUMENT!$B$45-HOOFDDOCUMENT!$B$46)*(HOOFDDOCUMENT!$B$6*HOOFDDOCUMENT!$B$7))*4.3452</f>
        <v>0</v>
      </c>
      <c r="O61" s="51">
        <f t="shared" si="12"/>
        <v>0</v>
      </c>
      <c r="P61" s="51">
        <f t="shared" si="17"/>
        <v>257.54174208</v>
      </c>
      <c r="Q61" s="53">
        <f t="shared" si="18"/>
        <v>2991.760071680001</v>
      </c>
      <c r="R61">
        <f t="shared" si="13"/>
        <v>1</v>
      </c>
      <c r="S61">
        <f t="shared" si="19"/>
        <v>0</v>
      </c>
      <c r="T61" t="str">
        <f t="shared" si="8"/>
        <v>30-IEME MOIS</v>
      </c>
    </row>
    <row r="62" spans="1:20" ht="14.25">
      <c r="A62" s="49" t="s">
        <v>96</v>
      </c>
      <c r="B62" s="59">
        <f t="shared" si="14"/>
        <v>0.213793103448276</v>
      </c>
      <c r="C62" s="40">
        <f t="shared" si="9"/>
        <v>0</v>
      </c>
      <c r="D62" s="51">
        <f>IF(+C62=C61,0,(+C62-C61)*HOOFDDOCUMENT!$F$6)</f>
        <v>0</v>
      </c>
      <c r="E62" s="59">
        <f t="shared" si="15"/>
        <v>1.068965517241379</v>
      </c>
      <c r="F62" s="37">
        <f t="shared" si="10"/>
        <v>1</v>
      </c>
      <c r="G62" s="51">
        <f>IF(+F62=F61,0,(+F62-F61)*HOOFDDOCUMENT!$F$4)</f>
        <v>0</v>
      </c>
      <c r="H62" s="65">
        <f t="shared" si="22"/>
        <v>0.1323</v>
      </c>
      <c r="I62" s="52">
        <f>(HOOFDDOCUMENT!$B$19-HOOFDDOCUMENT!$B$20)*4.3452</f>
        <v>1946.6496000000002</v>
      </c>
      <c r="J62" s="51">
        <f t="shared" si="11"/>
        <v>257.54174208</v>
      </c>
      <c r="K62" s="39">
        <f t="shared" si="21"/>
        <v>1</v>
      </c>
      <c r="L62" s="51">
        <f>IF(+K62=K61,0,(+K62-K61)*HOOFDDOCUMENT!$F$25)</f>
        <v>0</v>
      </c>
      <c r="M62" s="51">
        <v>0</v>
      </c>
      <c r="N62" s="52">
        <f>((HOOFDDOCUMENT!$B$45-HOOFDDOCUMENT!$B$46)*(HOOFDDOCUMENT!$B$6*HOOFDDOCUMENT!$B$7))*4.3452</f>
        <v>0</v>
      </c>
      <c r="O62" s="51">
        <f t="shared" si="12"/>
        <v>0</v>
      </c>
      <c r="P62" s="51">
        <f t="shared" si="17"/>
        <v>257.54174208</v>
      </c>
      <c r="Q62" s="53">
        <f t="shared" si="18"/>
        <v>3249.301813760001</v>
      </c>
      <c r="R62">
        <f t="shared" si="13"/>
        <v>1</v>
      </c>
      <c r="S62">
        <f t="shared" si="19"/>
        <v>0</v>
      </c>
      <c r="T62" t="str">
        <f t="shared" si="8"/>
        <v>31-IEME MOIS</v>
      </c>
    </row>
    <row r="63" spans="1:20" ht="14.25">
      <c r="A63" s="49" t="s">
        <v>97</v>
      </c>
      <c r="B63" s="59">
        <f t="shared" si="14"/>
        <v>0.22068965517241396</v>
      </c>
      <c r="C63" s="40">
        <f t="shared" si="9"/>
        <v>0</v>
      </c>
      <c r="D63" s="51">
        <f>IF(+C63=C62,0,(+C63-C62)*HOOFDDOCUMENT!$F$6)</f>
        <v>0</v>
      </c>
      <c r="E63" s="59">
        <f t="shared" si="15"/>
        <v>1.1034482758620687</v>
      </c>
      <c r="F63" s="37">
        <f t="shared" si="10"/>
        <v>1</v>
      </c>
      <c r="G63" s="51">
        <f>IF(+F63=F62,0,(+F63-F62)*HOOFDDOCUMENT!$F$4)</f>
        <v>0</v>
      </c>
      <c r="H63" s="65">
        <f t="shared" si="22"/>
        <v>0.1323</v>
      </c>
      <c r="I63" s="52">
        <f>(HOOFDDOCUMENT!$B$19-HOOFDDOCUMENT!$B$20)*4.3452</f>
        <v>1946.6496000000002</v>
      </c>
      <c r="J63" s="51">
        <f t="shared" si="11"/>
        <v>257.54174208</v>
      </c>
      <c r="K63" s="39">
        <f t="shared" si="21"/>
        <v>1</v>
      </c>
      <c r="L63" s="51">
        <f>IF(+K63=K62,0,(+K63-K62)*HOOFDDOCUMENT!$F$25)</f>
        <v>0</v>
      </c>
      <c r="M63" s="51">
        <v>0</v>
      </c>
      <c r="N63" s="52">
        <f>((HOOFDDOCUMENT!$B$45-HOOFDDOCUMENT!$B$46)*(HOOFDDOCUMENT!$B$6*HOOFDDOCUMENT!$B$7))*4.3452</f>
        <v>0</v>
      </c>
      <c r="O63" s="51">
        <f t="shared" si="12"/>
        <v>0</v>
      </c>
      <c r="P63" s="51">
        <f t="shared" si="17"/>
        <v>257.54174208</v>
      </c>
      <c r="Q63" s="53">
        <f t="shared" si="18"/>
        <v>3506.843555840001</v>
      </c>
      <c r="R63">
        <f t="shared" si="13"/>
        <v>1</v>
      </c>
      <c r="S63">
        <f t="shared" si="19"/>
        <v>0</v>
      </c>
      <c r="T63" t="str">
        <f t="shared" si="8"/>
        <v>32-IEME MOIS</v>
      </c>
    </row>
    <row r="64" spans="1:20" ht="14.25">
      <c r="A64" s="49" t="s">
        <v>98</v>
      </c>
      <c r="B64" s="59">
        <f t="shared" si="14"/>
        <v>0.2275862068965519</v>
      </c>
      <c r="C64" s="40">
        <f t="shared" si="9"/>
        <v>0</v>
      </c>
      <c r="D64" s="51">
        <f>IF(+C64=C63,0,(+C64-C63)*HOOFDDOCUMENT!$F$6)</f>
        <v>0</v>
      </c>
      <c r="E64" s="59">
        <f t="shared" si="15"/>
        <v>1.1379310344827585</v>
      </c>
      <c r="F64" s="37">
        <f t="shared" si="10"/>
        <v>1</v>
      </c>
      <c r="G64" s="51">
        <f>IF(+F64=F63,0,(+F64-F63)*HOOFDDOCUMENT!$F$4)</f>
        <v>0</v>
      </c>
      <c r="H64" s="65">
        <f t="shared" si="22"/>
        <v>0.1323</v>
      </c>
      <c r="I64" s="52">
        <f>(HOOFDDOCUMENT!$B$19-HOOFDDOCUMENT!$B$20)*4.3452</f>
        <v>1946.6496000000002</v>
      </c>
      <c r="J64" s="51">
        <f t="shared" si="11"/>
        <v>257.54174208</v>
      </c>
      <c r="K64" s="39">
        <f t="shared" si="21"/>
        <v>1</v>
      </c>
      <c r="L64" s="51">
        <f>IF(+K64=K63,0,(+K64-K63)*HOOFDDOCUMENT!$F$25)</f>
        <v>0</v>
      </c>
      <c r="M64" s="51">
        <v>0</v>
      </c>
      <c r="N64" s="52">
        <f>((HOOFDDOCUMENT!$B$45-HOOFDDOCUMENT!$B$46)*(HOOFDDOCUMENT!$B$6*HOOFDDOCUMENT!$B$7))*4.3452</f>
        <v>0</v>
      </c>
      <c r="O64" s="51">
        <f t="shared" si="12"/>
        <v>0</v>
      </c>
      <c r="P64" s="51">
        <f t="shared" si="17"/>
        <v>257.54174208</v>
      </c>
      <c r="Q64" s="53">
        <f t="shared" si="18"/>
        <v>3764.385297920001</v>
      </c>
      <c r="R64">
        <f t="shared" si="13"/>
        <v>1</v>
      </c>
      <c r="S64">
        <f t="shared" si="19"/>
        <v>0</v>
      </c>
      <c r="T64" t="str">
        <f t="shared" si="8"/>
        <v>33-IEME MOIS</v>
      </c>
    </row>
    <row r="65" spans="1:20" ht="14.25">
      <c r="A65" s="49" t="s">
        <v>99</v>
      </c>
      <c r="B65" s="59">
        <f t="shared" si="14"/>
        <v>0.23448275862068985</v>
      </c>
      <c r="C65" s="40">
        <f t="shared" si="9"/>
        <v>0</v>
      </c>
      <c r="D65" s="51">
        <f>IF(+C65=C64,0,(+C65-C64)*HOOFDDOCUMENT!$F$6)</f>
        <v>0</v>
      </c>
      <c r="E65" s="59">
        <f t="shared" si="15"/>
        <v>1.1724137931034482</v>
      </c>
      <c r="F65" s="37">
        <f t="shared" si="10"/>
        <v>1</v>
      </c>
      <c r="G65" s="51">
        <f>IF(+F65=F64,0,(+F65-F64)*HOOFDDOCUMENT!$F$4)</f>
        <v>0</v>
      </c>
      <c r="H65" s="65">
        <f t="shared" si="22"/>
        <v>0.1323</v>
      </c>
      <c r="I65" s="52">
        <f>(HOOFDDOCUMENT!$B$19-HOOFDDOCUMENT!$B$20)*4.3452</f>
        <v>1946.6496000000002</v>
      </c>
      <c r="J65" s="51">
        <f t="shared" si="11"/>
        <v>257.54174208</v>
      </c>
      <c r="K65" s="39">
        <f t="shared" si="21"/>
        <v>1</v>
      </c>
      <c r="L65" s="51">
        <f>IF(+K65=K64,0,(+K65-K64)*HOOFDDOCUMENT!$F$25)</f>
        <v>0</v>
      </c>
      <c r="M65" s="51">
        <v>0</v>
      </c>
      <c r="N65" s="52">
        <f>((HOOFDDOCUMENT!$B$45-HOOFDDOCUMENT!$B$46)*(HOOFDDOCUMENT!$B$6*HOOFDDOCUMENT!$B$7))*4.3452</f>
        <v>0</v>
      </c>
      <c r="O65" s="51">
        <f t="shared" si="12"/>
        <v>0</v>
      </c>
      <c r="P65" s="51">
        <f t="shared" si="17"/>
        <v>257.54174208</v>
      </c>
      <c r="Q65" s="53">
        <f t="shared" si="18"/>
        <v>4021.927040000001</v>
      </c>
      <c r="R65">
        <f t="shared" si="13"/>
        <v>1</v>
      </c>
      <c r="S65">
        <f t="shared" si="19"/>
        <v>0</v>
      </c>
      <c r="T65" t="str">
        <f t="shared" si="8"/>
        <v>34-IEME MOIS</v>
      </c>
    </row>
    <row r="66" spans="1:20" ht="14.25">
      <c r="A66" s="49" t="s">
        <v>100</v>
      </c>
      <c r="B66" s="59">
        <f t="shared" si="14"/>
        <v>0.2413793103448278</v>
      </c>
      <c r="C66" s="40">
        <f t="shared" si="9"/>
        <v>0</v>
      </c>
      <c r="D66" s="51">
        <f>IF(+C66=C65,0,(+C66-C65)*HOOFDDOCUMENT!$F$6)</f>
        <v>0</v>
      </c>
      <c r="E66" s="59">
        <f t="shared" si="15"/>
        <v>1.206896551724138</v>
      </c>
      <c r="F66" s="37">
        <f t="shared" si="10"/>
        <v>1</v>
      </c>
      <c r="G66" s="51">
        <f>IF(+F66=F65,0,(+F66-F65)*HOOFDDOCUMENT!$F$4)</f>
        <v>0</v>
      </c>
      <c r="H66" s="65">
        <f t="shared" si="22"/>
        <v>0.1323</v>
      </c>
      <c r="I66" s="52">
        <f>(HOOFDDOCUMENT!$B$19-HOOFDDOCUMENT!$B$20)*4.3452</f>
        <v>1946.6496000000002</v>
      </c>
      <c r="J66" s="51">
        <f t="shared" si="11"/>
        <v>257.54174208</v>
      </c>
      <c r="K66" s="39">
        <f t="shared" si="21"/>
        <v>1</v>
      </c>
      <c r="L66" s="51">
        <f>IF(+K66=K65,0,(+K66-K65)*HOOFDDOCUMENT!$F$25)</f>
        <v>0</v>
      </c>
      <c r="M66" s="51">
        <v>0</v>
      </c>
      <c r="N66" s="52">
        <f>((HOOFDDOCUMENT!$B$45-HOOFDDOCUMENT!$B$46)*(HOOFDDOCUMENT!$B$6*HOOFDDOCUMENT!$B$7))*4.3452</f>
        <v>0</v>
      </c>
      <c r="O66" s="51">
        <f t="shared" si="12"/>
        <v>0</v>
      </c>
      <c r="P66" s="51">
        <f t="shared" si="17"/>
        <v>257.54174208</v>
      </c>
      <c r="Q66" s="53">
        <f t="shared" si="18"/>
        <v>4279.468782080001</v>
      </c>
      <c r="R66">
        <f t="shared" si="13"/>
        <v>1</v>
      </c>
      <c r="S66">
        <f t="shared" si="19"/>
        <v>0</v>
      </c>
      <c r="T66" t="str">
        <f t="shared" si="8"/>
        <v>35-IEME MOIS</v>
      </c>
    </row>
    <row r="67" spans="1:20" ht="14.25">
      <c r="A67" s="49" t="s">
        <v>101</v>
      </c>
      <c r="B67" s="59">
        <f t="shared" si="14"/>
        <v>0.24827586206896574</v>
      </c>
      <c r="C67" s="40">
        <f t="shared" si="9"/>
        <v>0</v>
      </c>
      <c r="D67" s="51">
        <f>IF(+C67=C66,0,(+C67-C66)*HOOFDDOCUMENT!$F$6)</f>
        <v>0</v>
      </c>
      <c r="E67" s="59">
        <f t="shared" si="15"/>
        <v>1.2413793103448276</v>
      </c>
      <c r="F67" s="37">
        <f t="shared" si="10"/>
        <v>1</v>
      </c>
      <c r="G67" s="51">
        <f>IF(+F67=F66,0,(+F67-F66)*HOOFDDOCUMENT!$F$4)</f>
        <v>0</v>
      </c>
      <c r="H67" s="65">
        <f t="shared" si="22"/>
        <v>0.1323</v>
      </c>
      <c r="I67" s="52">
        <f>(HOOFDDOCUMENT!$B$19-HOOFDDOCUMENT!$B$20)*4.3452</f>
        <v>1946.6496000000002</v>
      </c>
      <c r="J67" s="51">
        <f t="shared" si="11"/>
        <v>257.54174208</v>
      </c>
      <c r="K67" s="39">
        <f t="shared" si="21"/>
        <v>1</v>
      </c>
      <c r="L67" s="51">
        <f>IF(+K67=K66,0,(+K67-K66)*HOOFDDOCUMENT!$F$25)</f>
        <v>0</v>
      </c>
      <c r="M67" s="51">
        <v>0</v>
      </c>
      <c r="N67" s="52">
        <f>((HOOFDDOCUMENT!$B$45-HOOFDDOCUMENT!$B$46)*(HOOFDDOCUMENT!$B$6*HOOFDDOCUMENT!$B$7))*4.3452</f>
        <v>0</v>
      </c>
      <c r="O67" s="51">
        <f t="shared" si="12"/>
        <v>0</v>
      </c>
      <c r="P67" s="51">
        <f t="shared" si="17"/>
        <v>257.54174208</v>
      </c>
      <c r="Q67" s="53">
        <f t="shared" si="18"/>
        <v>4537.010524160001</v>
      </c>
      <c r="R67">
        <f t="shared" si="13"/>
        <v>1</v>
      </c>
      <c r="S67">
        <f t="shared" si="19"/>
        <v>0</v>
      </c>
      <c r="T67" t="str">
        <f t="shared" si="8"/>
        <v>36-IEME MOIS</v>
      </c>
    </row>
    <row r="68" spans="1:20" ht="14.25">
      <c r="A68" s="49" t="s">
        <v>102</v>
      </c>
      <c r="B68" s="59">
        <f t="shared" si="14"/>
        <v>0.2551724137931037</v>
      </c>
      <c r="C68" s="40">
        <f t="shared" si="9"/>
        <v>0</v>
      </c>
      <c r="D68" s="51">
        <f>IF(+C68=C67,0,(+C68-C67)*HOOFDDOCUMENT!$F$6)</f>
        <v>0</v>
      </c>
      <c r="E68" s="59">
        <f t="shared" si="15"/>
        <v>1.2758620689655173</v>
      </c>
      <c r="F68" s="37">
        <f t="shared" si="10"/>
        <v>1</v>
      </c>
      <c r="G68" s="51">
        <f>IF(+F68=F67,0,(+F68-F67)*HOOFDDOCUMENT!$F$4)</f>
        <v>0</v>
      </c>
      <c r="H68" s="65">
        <f>H67*(1+(HOOFDDOCUMENT!$B$16/100))</f>
        <v>0.138915</v>
      </c>
      <c r="I68" s="52">
        <f>(HOOFDDOCUMENT!$B$19-HOOFDDOCUMENT!$B$20)*4.3452</f>
        <v>1946.6496000000002</v>
      </c>
      <c r="J68" s="51">
        <f t="shared" si="11"/>
        <v>270.41882918400006</v>
      </c>
      <c r="K68" s="39">
        <f t="shared" si="21"/>
        <v>1</v>
      </c>
      <c r="L68" s="51">
        <f>IF(+K68=K67,0,(+K68-K67)*HOOFDDOCUMENT!$F$25)</f>
        <v>0</v>
      </c>
      <c r="M68" s="51">
        <v>0</v>
      </c>
      <c r="N68" s="52">
        <f>((HOOFDDOCUMENT!$B$45-HOOFDDOCUMENT!$B$46)*(HOOFDDOCUMENT!$B$6*HOOFDDOCUMENT!$B$7))*4.3452</f>
        <v>0</v>
      </c>
      <c r="O68" s="51">
        <f t="shared" si="12"/>
        <v>0</v>
      </c>
      <c r="P68" s="51">
        <f t="shared" si="17"/>
        <v>270.41882918400006</v>
      </c>
      <c r="Q68" s="53">
        <f t="shared" si="18"/>
        <v>4807.429353344001</v>
      </c>
      <c r="R68">
        <f t="shared" si="13"/>
        <v>1</v>
      </c>
      <c r="S68">
        <f t="shared" si="19"/>
        <v>0</v>
      </c>
      <c r="T68" t="str">
        <f t="shared" si="8"/>
        <v>37-IEME MOIS</v>
      </c>
    </row>
    <row r="69" spans="1:20" ht="14.25">
      <c r="A69" s="49" t="s">
        <v>103</v>
      </c>
      <c r="B69" s="59">
        <f t="shared" si="14"/>
        <v>0.2620689655172416</v>
      </c>
      <c r="C69" s="40">
        <f t="shared" si="9"/>
        <v>0</v>
      </c>
      <c r="D69" s="51">
        <f>IF(+C69=C68,0,(+C69-C68)*HOOFDDOCUMENT!$F$6)</f>
        <v>0</v>
      </c>
      <c r="E69" s="59">
        <f t="shared" si="15"/>
        <v>1.310344827586207</v>
      </c>
      <c r="F69" s="37">
        <f t="shared" si="10"/>
        <v>1</v>
      </c>
      <c r="G69" s="51">
        <f>IF(+F69=F68,0,(+F69-F68)*HOOFDDOCUMENT!$F$4)</f>
        <v>0</v>
      </c>
      <c r="H69" s="65">
        <f>$H$68</f>
        <v>0.138915</v>
      </c>
      <c r="I69" s="52">
        <f>(HOOFDDOCUMENT!$B$19-HOOFDDOCUMENT!$B$20)*4.3452</f>
        <v>1946.6496000000002</v>
      </c>
      <c r="J69" s="51">
        <f t="shared" si="11"/>
        <v>270.41882918400006</v>
      </c>
      <c r="K69" s="39">
        <f t="shared" si="21"/>
        <v>1</v>
      </c>
      <c r="L69" s="51">
        <f>IF(+K69=K68,0,(+K69-K68)*HOOFDDOCUMENT!$F$25)</f>
        <v>0</v>
      </c>
      <c r="M69" s="51">
        <v>0</v>
      </c>
      <c r="N69" s="52">
        <f>((HOOFDDOCUMENT!$B$45-HOOFDDOCUMENT!$B$46)*(HOOFDDOCUMENT!$B$6*HOOFDDOCUMENT!$B$7))*4.3452</f>
        <v>0</v>
      </c>
      <c r="O69" s="51">
        <f t="shared" si="12"/>
        <v>0</v>
      </c>
      <c r="P69" s="51">
        <f t="shared" si="17"/>
        <v>270.41882918400006</v>
      </c>
      <c r="Q69" s="53">
        <f t="shared" si="18"/>
        <v>5077.848182528001</v>
      </c>
      <c r="R69">
        <f t="shared" si="13"/>
        <v>1</v>
      </c>
      <c r="S69">
        <f t="shared" si="19"/>
        <v>0</v>
      </c>
      <c r="T69" t="str">
        <f t="shared" si="8"/>
        <v>38-IEME MOIS</v>
      </c>
    </row>
    <row r="70" spans="1:20" ht="14.25">
      <c r="A70" s="49" t="s">
        <v>104</v>
      </c>
      <c r="B70" s="59">
        <f t="shared" si="14"/>
        <v>0.26896551724137957</v>
      </c>
      <c r="C70" s="40">
        <f t="shared" si="9"/>
        <v>0</v>
      </c>
      <c r="D70" s="51">
        <f>IF(+C70=C69,0,(+C70-C69)*HOOFDDOCUMENT!$F$6)</f>
        <v>0</v>
      </c>
      <c r="E70" s="59">
        <f t="shared" si="15"/>
        <v>1.3448275862068968</v>
      </c>
      <c r="F70" s="37">
        <f t="shared" si="10"/>
        <v>1</v>
      </c>
      <c r="G70" s="51">
        <f>IF(+F70=F69,0,(+F70-F69)*HOOFDDOCUMENT!$F$4)</f>
        <v>0</v>
      </c>
      <c r="H70" s="65">
        <f aca="true" t="shared" si="23" ref="H70:H79">$H$68</f>
        <v>0.138915</v>
      </c>
      <c r="I70" s="52">
        <f>(HOOFDDOCUMENT!$B$19-HOOFDDOCUMENT!$B$20)*4.3452</f>
        <v>1946.6496000000002</v>
      </c>
      <c r="J70" s="51">
        <f t="shared" si="11"/>
        <v>270.41882918400006</v>
      </c>
      <c r="K70" s="39">
        <f t="shared" si="21"/>
        <v>1</v>
      </c>
      <c r="L70" s="51">
        <f>IF(+K70=K69,0,(+K70-K69)*HOOFDDOCUMENT!$F$25)</f>
        <v>0</v>
      </c>
      <c r="M70" s="51">
        <v>0</v>
      </c>
      <c r="N70" s="52">
        <f>((HOOFDDOCUMENT!$B$45-HOOFDDOCUMENT!$B$46)*(HOOFDDOCUMENT!$B$6*HOOFDDOCUMENT!$B$7))*4.3452</f>
        <v>0</v>
      </c>
      <c r="O70" s="51">
        <f t="shared" si="12"/>
        <v>0</v>
      </c>
      <c r="P70" s="51">
        <f t="shared" si="17"/>
        <v>270.41882918400006</v>
      </c>
      <c r="Q70" s="53">
        <f t="shared" si="18"/>
        <v>5348.2670117120015</v>
      </c>
      <c r="R70">
        <f t="shared" si="13"/>
        <v>1</v>
      </c>
      <c r="S70">
        <f t="shared" si="19"/>
        <v>0</v>
      </c>
      <c r="T70" t="str">
        <f t="shared" si="8"/>
        <v>39-IEME MOIS</v>
      </c>
    </row>
    <row r="71" spans="1:20" ht="14.25">
      <c r="A71" s="49" t="s">
        <v>105</v>
      </c>
      <c r="B71" s="59">
        <f t="shared" si="14"/>
        <v>0.2758620689655175</v>
      </c>
      <c r="C71" s="40">
        <f t="shared" si="9"/>
        <v>0</v>
      </c>
      <c r="D71" s="51">
        <f>IF(+C71=C70,0,(+C71-C70)*HOOFDDOCUMENT!$F$6)</f>
        <v>0</v>
      </c>
      <c r="E71" s="59">
        <f t="shared" si="15"/>
        <v>1.3793103448275865</v>
      </c>
      <c r="F71" s="37">
        <f t="shared" si="10"/>
        <v>1</v>
      </c>
      <c r="G71" s="51">
        <f>IF(+F71=F70,0,(+F71-F70)*HOOFDDOCUMENT!$F$4)</f>
        <v>0</v>
      </c>
      <c r="H71" s="65">
        <f t="shared" si="23"/>
        <v>0.138915</v>
      </c>
      <c r="I71" s="52">
        <f>(HOOFDDOCUMENT!$B$19-HOOFDDOCUMENT!$B$20)*4.3452</f>
        <v>1946.6496000000002</v>
      </c>
      <c r="J71" s="51">
        <f t="shared" si="11"/>
        <v>270.41882918400006</v>
      </c>
      <c r="K71" s="39">
        <f t="shared" si="21"/>
        <v>1</v>
      </c>
      <c r="L71" s="51">
        <f>IF(+K71=K70,0,(+K71-K70)*HOOFDDOCUMENT!$F$25)</f>
        <v>0</v>
      </c>
      <c r="M71" s="51">
        <v>0</v>
      </c>
      <c r="N71" s="52">
        <f>((HOOFDDOCUMENT!$B$45-HOOFDDOCUMENT!$B$46)*(HOOFDDOCUMENT!$B$6*HOOFDDOCUMENT!$B$7))*4.3452</f>
        <v>0</v>
      </c>
      <c r="O71" s="51">
        <f t="shared" si="12"/>
        <v>0</v>
      </c>
      <c r="P71" s="51">
        <f t="shared" si="17"/>
        <v>270.41882918400006</v>
      </c>
      <c r="Q71" s="53">
        <f t="shared" si="18"/>
        <v>5618.6858408960015</v>
      </c>
      <c r="R71">
        <f t="shared" si="13"/>
        <v>1</v>
      </c>
      <c r="S71">
        <f t="shared" si="19"/>
        <v>0</v>
      </c>
      <c r="T71" t="str">
        <f t="shared" si="8"/>
        <v>40-IEME MOIS</v>
      </c>
    </row>
    <row r="72" spans="1:20" ht="14.25">
      <c r="A72" s="49" t="s">
        <v>106</v>
      </c>
      <c r="B72" s="59">
        <f t="shared" si="14"/>
        <v>0.28275862068965546</v>
      </c>
      <c r="C72" s="40">
        <f t="shared" si="9"/>
        <v>0</v>
      </c>
      <c r="D72" s="51">
        <f>IF(+C72=C71,0,(+C72-C71)*HOOFDDOCUMENT!$F$6)</f>
        <v>0</v>
      </c>
      <c r="E72" s="59">
        <f t="shared" si="15"/>
        <v>1.4137931034482762</v>
      </c>
      <c r="F72" s="37">
        <f t="shared" si="10"/>
        <v>1</v>
      </c>
      <c r="G72" s="51">
        <f>IF(+F72=F71,0,(+F72-F71)*HOOFDDOCUMENT!$F$4)</f>
        <v>0</v>
      </c>
      <c r="H72" s="65">
        <f t="shared" si="23"/>
        <v>0.138915</v>
      </c>
      <c r="I72" s="52">
        <f>(HOOFDDOCUMENT!$B$19-HOOFDDOCUMENT!$B$20)*4.3452</f>
        <v>1946.6496000000002</v>
      </c>
      <c r="J72" s="51">
        <f t="shared" si="11"/>
        <v>270.41882918400006</v>
      </c>
      <c r="K72" s="39">
        <f t="shared" si="21"/>
        <v>1</v>
      </c>
      <c r="L72" s="51">
        <f>IF(+K72=K71,0,(+K72-K71)*HOOFDDOCUMENT!$F$25)</f>
        <v>0</v>
      </c>
      <c r="M72" s="51">
        <v>0</v>
      </c>
      <c r="N72" s="52">
        <f>((HOOFDDOCUMENT!$B$45-HOOFDDOCUMENT!$B$46)*(HOOFDDOCUMENT!$B$6*HOOFDDOCUMENT!$B$7))*4.3452</f>
        <v>0</v>
      </c>
      <c r="O72" s="51">
        <f t="shared" si="12"/>
        <v>0</v>
      </c>
      <c r="P72" s="51">
        <f t="shared" si="17"/>
        <v>270.41882918400006</v>
      </c>
      <c r="Q72" s="53">
        <f t="shared" si="18"/>
        <v>5889.104670080002</v>
      </c>
      <c r="R72">
        <f t="shared" si="13"/>
        <v>1</v>
      </c>
      <c r="S72">
        <f t="shared" si="19"/>
        <v>0</v>
      </c>
      <c r="T72" t="str">
        <f t="shared" si="8"/>
        <v>41-IEME MOIS</v>
      </c>
    </row>
    <row r="73" spans="1:20" ht="14.25">
      <c r="A73" s="49" t="s">
        <v>107</v>
      </c>
      <c r="B73" s="59">
        <f t="shared" si="14"/>
        <v>0.2896551724137934</v>
      </c>
      <c r="C73" s="40">
        <f t="shared" si="9"/>
        <v>0</v>
      </c>
      <c r="D73" s="51">
        <f>IF(+C73=C72,0,(+C73-C72)*HOOFDDOCUMENT!$F$6)</f>
        <v>0</v>
      </c>
      <c r="E73" s="59">
        <f t="shared" si="15"/>
        <v>1.448275862068966</v>
      </c>
      <c r="F73" s="37">
        <f t="shared" si="10"/>
        <v>1</v>
      </c>
      <c r="G73" s="51">
        <f>IF(+F73=F72,0,(+F73-F72)*HOOFDDOCUMENT!$F$4)</f>
        <v>0</v>
      </c>
      <c r="H73" s="65">
        <f t="shared" si="23"/>
        <v>0.138915</v>
      </c>
      <c r="I73" s="52">
        <f>(HOOFDDOCUMENT!$B$19-HOOFDDOCUMENT!$B$20)*4.3452</f>
        <v>1946.6496000000002</v>
      </c>
      <c r="J73" s="51">
        <f t="shared" si="11"/>
        <v>270.41882918400006</v>
      </c>
      <c r="K73" s="39">
        <f t="shared" si="21"/>
        <v>1</v>
      </c>
      <c r="L73" s="51">
        <f>IF(+K73=K72,0,(+K73-K72)*HOOFDDOCUMENT!$F$25)</f>
        <v>0</v>
      </c>
      <c r="M73" s="51">
        <v>0</v>
      </c>
      <c r="N73" s="52">
        <f>((HOOFDDOCUMENT!$B$45-HOOFDDOCUMENT!$B$46)*(HOOFDDOCUMENT!$B$6*HOOFDDOCUMENT!$B$7))*4.3452</f>
        <v>0</v>
      </c>
      <c r="O73" s="51">
        <f t="shared" si="12"/>
        <v>0</v>
      </c>
      <c r="P73" s="51">
        <f t="shared" si="17"/>
        <v>270.41882918400006</v>
      </c>
      <c r="Q73" s="53">
        <f t="shared" si="18"/>
        <v>6159.523499264002</v>
      </c>
      <c r="R73">
        <f t="shared" si="13"/>
        <v>1</v>
      </c>
      <c r="S73">
        <f t="shared" si="19"/>
        <v>0</v>
      </c>
      <c r="T73" t="str">
        <f t="shared" si="8"/>
        <v>42-IEME MOIS</v>
      </c>
    </row>
    <row r="74" spans="1:20" ht="14.25">
      <c r="A74" s="49" t="s">
        <v>108</v>
      </c>
      <c r="B74" s="59">
        <f t="shared" si="14"/>
        <v>0.29655172413793135</v>
      </c>
      <c r="C74" s="40">
        <f t="shared" si="9"/>
        <v>0</v>
      </c>
      <c r="D74" s="51">
        <f>IF(+C74=C73,0,(+C74-C73)*HOOFDDOCUMENT!$F$6)</f>
        <v>0</v>
      </c>
      <c r="E74" s="59">
        <f t="shared" si="15"/>
        <v>1.4827586206896557</v>
      </c>
      <c r="F74" s="37">
        <f t="shared" si="10"/>
        <v>1</v>
      </c>
      <c r="G74" s="51">
        <f>IF(+F74=F73,0,(+F74-F73)*HOOFDDOCUMENT!$F$4)</f>
        <v>0</v>
      </c>
      <c r="H74" s="65">
        <f t="shared" si="23"/>
        <v>0.138915</v>
      </c>
      <c r="I74" s="52">
        <f>(HOOFDDOCUMENT!$B$19-HOOFDDOCUMENT!$B$20)*4.3452</f>
        <v>1946.6496000000002</v>
      </c>
      <c r="J74" s="51">
        <f t="shared" si="11"/>
        <v>270.41882918400006</v>
      </c>
      <c r="K74" s="39">
        <f t="shared" si="21"/>
        <v>1</v>
      </c>
      <c r="L74" s="51">
        <f>IF(+K74=K73,0,(+K74-K73)*HOOFDDOCUMENT!$F$25)</f>
        <v>0</v>
      </c>
      <c r="M74" s="51">
        <v>0</v>
      </c>
      <c r="N74" s="52">
        <f>((HOOFDDOCUMENT!$B$45-HOOFDDOCUMENT!$B$46)*(HOOFDDOCUMENT!$B$6*HOOFDDOCUMENT!$B$7))*4.3452</f>
        <v>0</v>
      </c>
      <c r="O74" s="51">
        <f t="shared" si="12"/>
        <v>0</v>
      </c>
      <c r="P74" s="51">
        <f t="shared" si="17"/>
        <v>270.41882918400006</v>
      </c>
      <c r="Q74" s="53">
        <f t="shared" si="18"/>
        <v>6429.942328448002</v>
      </c>
      <c r="R74">
        <f t="shared" si="13"/>
        <v>1</v>
      </c>
      <c r="S74">
        <f t="shared" si="19"/>
        <v>0</v>
      </c>
      <c r="T74" t="str">
        <f t="shared" si="8"/>
        <v>43-IEME MOIS</v>
      </c>
    </row>
    <row r="75" spans="1:20" ht="14.25">
      <c r="A75" s="49" t="s">
        <v>109</v>
      </c>
      <c r="B75" s="59">
        <f t="shared" si="14"/>
        <v>0.3034482758620693</v>
      </c>
      <c r="C75" s="40">
        <f t="shared" si="9"/>
        <v>0</v>
      </c>
      <c r="D75" s="51">
        <f>IF(+C75=C74,0,(+C75-C74)*HOOFDDOCUMENT!$F$6)</f>
        <v>0</v>
      </c>
      <c r="E75" s="59">
        <f t="shared" si="15"/>
        <v>1.5172413793103454</v>
      </c>
      <c r="F75" s="37">
        <f t="shared" si="10"/>
        <v>1</v>
      </c>
      <c r="G75" s="51">
        <f>IF(+F75=F74,0,(+F75-F74)*HOOFDDOCUMENT!$F$4)</f>
        <v>0</v>
      </c>
      <c r="H75" s="65">
        <f t="shared" si="23"/>
        <v>0.138915</v>
      </c>
      <c r="I75" s="52">
        <f>(HOOFDDOCUMENT!$B$19-HOOFDDOCUMENT!$B$20)*4.3452</f>
        <v>1946.6496000000002</v>
      </c>
      <c r="J75" s="51">
        <f t="shared" si="11"/>
        <v>270.41882918400006</v>
      </c>
      <c r="K75" s="39">
        <f t="shared" si="21"/>
        <v>1</v>
      </c>
      <c r="L75" s="51">
        <f>IF(+K75=K74,0,(+K75-K74)*HOOFDDOCUMENT!$F$25)</f>
        <v>0</v>
      </c>
      <c r="M75" s="51">
        <v>0</v>
      </c>
      <c r="N75" s="52">
        <f>((HOOFDDOCUMENT!$B$45-HOOFDDOCUMENT!$B$46)*(HOOFDDOCUMENT!$B$6*HOOFDDOCUMENT!$B$7))*4.3452</f>
        <v>0</v>
      </c>
      <c r="O75" s="51">
        <f t="shared" si="12"/>
        <v>0</v>
      </c>
      <c r="P75" s="51">
        <f t="shared" si="17"/>
        <v>270.41882918400006</v>
      </c>
      <c r="Q75" s="53">
        <f t="shared" si="18"/>
        <v>6700.361157632002</v>
      </c>
      <c r="R75">
        <f t="shared" si="13"/>
        <v>1</v>
      </c>
      <c r="S75">
        <f t="shared" si="19"/>
        <v>0</v>
      </c>
      <c r="T75" t="str">
        <f t="shared" si="8"/>
        <v>44-IEME MOIS</v>
      </c>
    </row>
    <row r="76" spans="1:20" ht="14.25">
      <c r="A76" s="49" t="s">
        <v>110</v>
      </c>
      <c r="B76" s="59">
        <f t="shared" si="14"/>
        <v>0.31034482758620724</v>
      </c>
      <c r="C76" s="40">
        <f t="shared" si="9"/>
        <v>0</v>
      </c>
      <c r="D76" s="51">
        <f>IF(+C76=C75,0,(+C76-C75)*HOOFDDOCUMENT!$F$6)</f>
        <v>0</v>
      </c>
      <c r="E76" s="59">
        <f t="shared" si="15"/>
        <v>1.5517241379310351</v>
      </c>
      <c r="F76" s="37">
        <f t="shared" si="10"/>
        <v>1</v>
      </c>
      <c r="G76" s="51">
        <f>IF(+F76=F75,0,(+F76-F75)*HOOFDDOCUMENT!$F$4)</f>
        <v>0</v>
      </c>
      <c r="H76" s="65">
        <f t="shared" si="23"/>
        <v>0.138915</v>
      </c>
      <c r="I76" s="52">
        <f>(HOOFDDOCUMENT!$B$19-HOOFDDOCUMENT!$B$20)*4.3452</f>
        <v>1946.6496000000002</v>
      </c>
      <c r="J76" s="51">
        <f t="shared" si="11"/>
        <v>270.41882918400006</v>
      </c>
      <c r="K76" s="39">
        <f t="shared" si="21"/>
        <v>1</v>
      </c>
      <c r="L76" s="51">
        <f>IF(+K76=K75,0,(+K76-K75)*HOOFDDOCUMENT!$F$25)</f>
        <v>0</v>
      </c>
      <c r="M76" s="51">
        <v>0</v>
      </c>
      <c r="N76" s="52">
        <f>((HOOFDDOCUMENT!$B$45-HOOFDDOCUMENT!$B$46)*(HOOFDDOCUMENT!$B$6*HOOFDDOCUMENT!$B$7))*4.3452</f>
        <v>0</v>
      </c>
      <c r="O76" s="51">
        <f t="shared" si="12"/>
        <v>0</v>
      </c>
      <c r="P76" s="51">
        <f t="shared" si="17"/>
        <v>270.41882918400006</v>
      </c>
      <c r="Q76" s="53">
        <f t="shared" si="18"/>
        <v>6970.779986816002</v>
      </c>
      <c r="R76">
        <f t="shared" si="13"/>
        <v>1</v>
      </c>
      <c r="S76">
        <f t="shared" si="19"/>
        <v>0</v>
      </c>
      <c r="T76" t="str">
        <f t="shared" si="8"/>
        <v>45-IEME MOIS</v>
      </c>
    </row>
    <row r="77" spans="1:20" ht="14.25">
      <c r="A77" s="49" t="s">
        <v>111</v>
      </c>
      <c r="B77" s="59">
        <f t="shared" si="14"/>
        <v>0.3172413793103452</v>
      </c>
      <c r="C77" s="40">
        <f t="shared" si="9"/>
        <v>0</v>
      </c>
      <c r="D77" s="51">
        <f>IF(+C77=C76,0,(+C77-C76)*HOOFDDOCUMENT!$F$6)</f>
        <v>0</v>
      </c>
      <c r="E77" s="59">
        <f t="shared" si="15"/>
        <v>1.5862068965517249</v>
      </c>
      <c r="F77" s="37">
        <f t="shared" si="10"/>
        <v>1</v>
      </c>
      <c r="G77" s="51">
        <f>IF(+F77=F76,0,(+F77-F76)*HOOFDDOCUMENT!$F$4)</f>
        <v>0</v>
      </c>
      <c r="H77" s="65">
        <f t="shared" si="23"/>
        <v>0.138915</v>
      </c>
      <c r="I77" s="52">
        <f>(HOOFDDOCUMENT!$B$19-HOOFDDOCUMENT!$B$20)*4.3452</f>
        <v>1946.6496000000002</v>
      </c>
      <c r="J77" s="51">
        <f t="shared" si="11"/>
        <v>270.41882918400006</v>
      </c>
      <c r="K77" s="39">
        <f t="shared" si="21"/>
        <v>1</v>
      </c>
      <c r="L77" s="51">
        <f>IF(+K77=K76,0,(+K77-K76)*HOOFDDOCUMENT!$F$25)</f>
        <v>0</v>
      </c>
      <c r="M77" s="51">
        <v>0</v>
      </c>
      <c r="N77" s="52">
        <f>((HOOFDDOCUMENT!$B$45-HOOFDDOCUMENT!$B$46)*(HOOFDDOCUMENT!$B$6*HOOFDDOCUMENT!$B$7))*4.3452</f>
        <v>0</v>
      </c>
      <c r="O77" s="51">
        <f t="shared" si="12"/>
        <v>0</v>
      </c>
      <c r="P77" s="51">
        <f t="shared" si="17"/>
        <v>270.41882918400006</v>
      </c>
      <c r="Q77" s="53">
        <f t="shared" si="18"/>
        <v>7241.198816000002</v>
      </c>
      <c r="R77">
        <f t="shared" si="13"/>
        <v>1</v>
      </c>
      <c r="S77">
        <f t="shared" si="19"/>
        <v>0</v>
      </c>
      <c r="T77" t="str">
        <f t="shared" si="8"/>
        <v>46-IEME MOIS</v>
      </c>
    </row>
    <row r="78" spans="1:20" ht="14.25">
      <c r="A78" s="49" t="s">
        <v>112</v>
      </c>
      <c r="B78" s="59">
        <f t="shared" si="14"/>
        <v>0.32413793103448313</v>
      </c>
      <c r="C78" s="40">
        <f t="shared" si="9"/>
        <v>0</v>
      </c>
      <c r="D78" s="51">
        <f>IF(+C78=C77,0,(+C78-C77)*HOOFDDOCUMENT!$F$6)</f>
        <v>0</v>
      </c>
      <c r="E78" s="59">
        <f t="shared" si="15"/>
        <v>1.6206896551724146</v>
      </c>
      <c r="F78" s="37">
        <f t="shared" si="10"/>
        <v>1</v>
      </c>
      <c r="G78" s="51">
        <f>IF(+F78=F77,0,(+F78-F77)*HOOFDDOCUMENT!$F$4)</f>
        <v>0</v>
      </c>
      <c r="H78" s="65">
        <f t="shared" si="23"/>
        <v>0.138915</v>
      </c>
      <c r="I78" s="52">
        <f>(HOOFDDOCUMENT!$B$19-HOOFDDOCUMENT!$B$20)*4.3452</f>
        <v>1946.6496000000002</v>
      </c>
      <c r="J78" s="51">
        <f t="shared" si="11"/>
        <v>270.41882918400006</v>
      </c>
      <c r="K78" s="39">
        <f t="shared" si="21"/>
        <v>1</v>
      </c>
      <c r="L78" s="51">
        <f>IF(+K78=K77,0,(+K78-K77)*HOOFDDOCUMENT!$F$25)</f>
        <v>0</v>
      </c>
      <c r="M78" s="51">
        <v>0</v>
      </c>
      <c r="N78" s="52">
        <f>((HOOFDDOCUMENT!$B$45-HOOFDDOCUMENT!$B$46)*(HOOFDDOCUMENT!$B$6*HOOFDDOCUMENT!$B$7))*4.3452</f>
        <v>0</v>
      </c>
      <c r="O78" s="51">
        <f t="shared" si="12"/>
        <v>0</v>
      </c>
      <c r="P78" s="51">
        <f t="shared" si="17"/>
        <v>270.41882918400006</v>
      </c>
      <c r="Q78" s="53">
        <f t="shared" si="18"/>
        <v>7511.617645184002</v>
      </c>
      <c r="R78">
        <f t="shared" si="13"/>
        <v>1</v>
      </c>
      <c r="S78">
        <f t="shared" si="19"/>
        <v>0</v>
      </c>
      <c r="T78" t="str">
        <f t="shared" si="8"/>
        <v>47-IEME MOIS</v>
      </c>
    </row>
    <row r="79" spans="1:20" ht="14.25">
      <c r="A79" s="49" t="s">
        <v>113</v>
      </c>
      <c r="B79" s="59">
        <f t="shared" si="14"/>
        <v>0.3310344827586211</v>
      </c>
      <c r="C79" s="40">
        <f t="shared" si="9"/>
        <v>0</v>
      </c>
      <c r="D79" s="51">
        <f>IF(+C79=C78,0,(+C79-C78)*HOOFDDOCUMENT!$F$6)</f>
        <v>0</v>
      </c>
      <c r="E79" s="59">
        <f t="shared" si="15"/>
        <v>1.6551724137931043</v>
      </c>
      <c r="F79" s="37">
        <f t="shared" si="10"/>
        <v>1</v>
      </c>
      <c r="G79" s="51">
        <f>IF(+F79=F78,0,(+F79-F78)*HOOFDDOCUMENT!$F$4)</f>
        <v>0</v>
      </c>
      <c r="H79" s="65">
        <f t="shared" si="23"/>
        <v>0.138915</v>
      </c>
      <c r="I79" s="52">
        <f>(HOOFDDOCUMENT!$B$19-HOOFDDOCUMENT!$B$20)*4.3452</f>
        <v>1946.6496000000002</v>
      </c>
      <c r="J79" s="51">
        <f t="shared" si="11"/>
        <v>270.41882918400006</v>
      </c>
      <c r="K79" s="39">
        <f t="shared" si="21"/>
        <v>1</v>
      </c>
      <c r="L79" s="51">
        <f>IF(+K79=K78,0,(+K79-K78)*HOOFDDOCUMENT!$F$25)</f>
        <v>0</v>
      </c>
      <c r="M79" s="51">
        <v>0</v>
      </c>
      <c r="N79" s="52">
        <f>((HOOFDDOCUMENT!$B$45-HOOFDDOCUMENT!$B$46)*(HOOFDDOCUMENT!$B$6*HOOFDDOCUMENT!$B$7))*4.3452</f>
        <v>0</v>
      </c>
      <c r="O79" s="51">
        <f t="shared" si="12"/>
        <v>0</v>
      </c>
      <c r="P79" s="51">
        <f t="shared" si="17"/>
        <v>270.41882918400006</v>
      </c>
      <c r="Q79" s="53">
        <f t="shared" si="18"/>
        <v>7782.036474368002</v>
      </c>
      <c r="R79">
        <f t="shared" si="13"/>
        <v>1</v>
      </c>
      <c r="S79">
        <f t="shared" si="19"/>
        <v>0</v>
      </c>
      <c r="T79" t="str">
        <f t="shared" si="8"/>
        <v>48-IEME MOIS</v>
      </c>
    </row>
  </sheetData>
  <sheetProtection/>
  <printOptions/>
  <pageMargins left="0.45" right="0.38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P.A. Systems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Erwin Eeckhaut</dc:creator>
  <cp:keywords/>
  <dc:description/>
  <cp:lastModifiedBy>PA Systems</cp:lastModifiedBy>
  <cp:lastPrinted>2012-05-02T09:15:07Z</cp:lastPrinted>
  <dcterms:created xsi:type="dcterms:W3CDTF">2001-11-18T11:54:55Z</dcterms:created>
  <dcterms:modified xsi:type="dcterms:W3CDTF">2012-10-31T16:12:26Z</dcterms:modified>
  <cp:category/>
  <cp:version/>
  <cp:contentType/>
  <cp:contentStatus/>
</cp:coreProperties>
</file>